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375" yWindow="4485" windowWidth="19440" windowHeight="10035" tabRatio="644" firstSheet="1" activeTab="6"/>
  </bookViews>
  <sheets>
    <sheet name="mR Length of stay (days)" sheetId="18" r:id="rId1"/>
    <sheet name="X Length of stay (days)" sheetId="19" r:id="rId2"/>
    <sheet name="Length of stay (days)" sheetId="17" r:id="rId3"/>
    <sheet name="Whipples" sheetId="5" r:id="rId4"/>
    <sheet name="mR Length of stay (days)5" sheetId="22" r:id="rId5"/>
    <sheet name="X Length of stay (days)5" sheetId="23" r:id="rId6"/>
    <sheet name="Length of stay (days)5" sheetId="21" r:id="rId7"/>
    <sheet name="distals" sheetId="1" r:id="rId8"/>
    <sheet name="Stats" sheetId="6" r:id="rId9"/>
    <sheet name="PRBC-Whipples" sheetId="11" r:id="rId10"/>
    <sheet name="PRBC-Distals" sheetId="9" r:id="rId11"/>
    <sheet name="Fluids - Whipples" sheetId="4" r:id="rId12"/>
    <sheet name="Fluids - Distals" sheetId="12" r:id="rId13"/>
    <sheet name="Whipples 1st Pain" sheetId="10" r:id="rId14"/>
    <sheet name="distals 1st Pain" sheetId="8" r:id="rId15"/>
    <sheet name="LOS Meta" sheetId="7" r:id="rId16"/>
  </sheets>
  <definedNames>
    <definedName name="_xlnm._FilterDatabase" localSheetId="14" hidden="1">'distals 1st Pain'!$A$1:$B$23</definedName>
    <definedName name="_xlnm._FilterDatabase" localSheetId="13" hidden="1">'Whipples 1st Pain'!$A$1:$A$23</definedName>
    <definedName name="_xlnm.Print_Area" localSheetId="2">'Length of stay (days)'!$C$1:$M$32</definedName>
    <definedName name="_xlnm.Print_Area" localSheetId="6">'Length of stay (days)5'!$C$1:$M$32</definedName>
  </definedNames>
  <calcPr calcId="145621"/>
  <oleSize ref="A1:EV199"/>
</workbook>
</file>

<file path=xl/comments1.xml><?xml version="1.0" encoding="utf-8"?>
<comments xmlns="http://schemas.openxmlformats.org/spreadsheetml/2006/main">
  <authors>
    <author>Hance, Lyla</author>
    <author>Kolarczyk, Lavinia</author>
    <author>Lavinia Kolarczyk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" authorId="1">
      <text>
        <r>
          <rPr>
            <b/>
            <sz val="9"/>
            <color indexed="81"/>
            <rFont val="Tahoma"/>
            <family val="2"/>
          </rPr>
          <t>Kolarczyk, Lavinia:</t>
        </r>
        <r>
          <rPr>
            <sz val="9"/>
            <color indexed="81"/>
            <rFont val="Tahoma"/>
            <family val="2"/>
          </rPr>
          <t xml:space="preserve">
1=male
2=female</t>
        </r>
      </text>
    </comment>
    <comment ref="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month/day/four digit year</t>
        </r>
      </text>
    </comment>
    <comment ref="L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0=non-smoker
1=previous smoker
2=current smoker</t>
        </r>
      </text>
    </comment>
    <comment ref="M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P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history
1=history of either TIA or CVA</t>
        </r>
      </text>
    </comment>
    <comment ref="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 lisinopril
2=enalapril
3=benazapril
4=captopril
5=quinapril
6=other</t>
        </r>
      </text>
    </comment>
    <comment ref="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U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1=losartan (Cozaar)
2=olmesartan (Benicar)
3=valsartan (Diovan)
4=irbesartan (Avapro)
5=telmisartan (Micardis)</t>
        </r>
      </text>
    </comment>
    <comment ref="V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W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X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1=metoprolol (Lopressor)
2=atenolol (Tenormin)
3=inderal (propranolol)
4=bisoprolol (Zebeta)
5=carvedilol (Coreg)</t>
        </r>
      </text>
    </comment>
    <comment ref="Y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A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1=amlodipine (Norvasc)
2=diltiazem (Cardizem)
3=verapamil (Calan)</t>
        </r>
      </text>
    </comment>
    <comment ref="AB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C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D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1=isosorbide mononitrate (Imdur)
2=isosorbide dinatrate (IsoDitrate)</t>
        </r>
      </text>
    </comment>
    <comment ref="AE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1=HCTZ (Mictozide)
2=furosemide (Lasix)
3=chlorothiazide (Diuril)
4=metolazone (Zaroxolyn)
5=amiloride
6=spironolactone
7=triamterene</t>
        </r>
      </text>
    </comment>
    <comment ref="AH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I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second number on echo report (e.g., 60)</t>
        </r>
      </text>
    </comment>
    <comment ref="AJ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0=none 
1=mild
2=moderate
3=severe
4=unknown</t>
        </r>
      </text>
    </comment>
    <comment ref="A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20% of SBP</t>
        </r>
      </text>
    </comment>
    <comment ref="AY1" authorId="2">
      <text>
        <r>
          <rPr>
            <b/>
            <sz val="9"/>
            <color indexed="81"/>
            <rFont val="Calibri"/>
            <family val="2"/>
          </rPr>
          <t>Lavinia Kolarczyk:
volume consumed (ounces)</t>
        </r>
      </text>
    </comment>
    <comment ref="A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 yes
0= no</t>
        </r>
      </text>
    </comment>
    <comment ref="BA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volume (mL) administered during epidural placement</t>
        </r>
      </text>
    </comment>
    <comment ref="B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1=propofol
2=etomidate</t>
        </r>
      </text>
    </comment>
    <comment ref="B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propofol dose given after induction and before intubation (mg)</t>
        </r>
      </text>
    </comment>
    <comment ref="BH1" authorId="1">
      <text>
        <r>
          <rPr>
            <b/>
            <sz val="9"/>
            <color indexed="81"/>
            <rFont val="Tahoma"/>
            <family val="2"/>
          </rPr>
          <t>Kolarczyk, Lavinia:</t>
        </r>
        <r>
          <rPr>
            <sz val="9"/>
            <color indexed="81"/>
            <rFont val="Tahoma"/>
            <family val="2"/>
          </rPr>
          <t xml:space="preserve">
Any fentanyl given before and during induction</t>
        </r>
      </text>
    </comment>
    <comment ref="B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1=within 15 min of induction
2= within 20 min of epidural intiation
3=not associated with event</t>
        </r>
      </text>
    </comment>
    <comment ref="B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Count number of times recorded SBP values fall below target </t>
        </r>
      </text>
    </comment>
    <comment ref="BP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(mg)….if none given, mark 0</t>
        </r>
      </text>
    </comment>
    <comment ref="B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used
1=used norepi infusion</t>
        </r>
      </text>
    </comment>
    <comment ref="B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U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V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W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X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Y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recorded volume from maintanence LR infusion (5 mL/kg/hr)</t>
        </r>
      </text>
    </comment>
    <comment ref="B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volume of crystalloid other than maintanence infusion
(disregard 1000 mL bolus given during epidural)</t>
        </r>
      </text>
    </comment>
    <comment ref="C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0=none
1=one unit PRBC
2=2 units PRBC
3=3 units PRBC</t>
        </r>
      </text>
    </comment>
    <comment ref="C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additional opiate given
1=fentanyl
2=dilaudid
3=morphine
4=fentanyl + dilaudid
5=fentanyl + morphine</t>
        </r>
      </text>
    </comment>
    <comment ref="C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C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C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0=PACU
1=ICU</t>
        </r>
      </text>
    </comment>
    <comment ref="CU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estimated blood loss in mL
</t>
        </r>
      </text>
    </comment>
    <comment ref="CW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record total PACU time in minutes </t>
        </r>
      </text>
    </comment>
    <comment ref="DE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if removed on POD 1, mark "1"</t>
        </r>
      </text>
    </comment>
    <comment ref="D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if removed on POD 2, mark "2"</t>
        </r>
      </text>
    </comment>
    <comment ref="D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when event first occurred</t>
        </r>
      </text>
    </comment>
    <comment ref="DH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when event first occurred</t>
        </r>
      </text>
    </comment>
    <comment ref="D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that bowel function returned (flatus or BM)</t>
        </r>
      </text>
    </comment>
    <comment ref="D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operative day when first oral intake was recorded (clears)</t>
        </r>
      </text>
    </comment>
    <comment ref="D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epidural catheter was removed (e.g., if on POD#5, mark "5")</t>
        </r>
      </text>
    </comment>
    <comment ref="D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first recorded post op pain score</t>
        </r>
      </text>
    </comment>
    <comment ref="E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patients will all get accu check glc in PACU</t>
        </r>
      </text>
    </comment>
    <comment ref="E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record highest glucose on EPIC (from chem 7 or accu check)</t>
        </r>
      </text>
    </comment>
    <comment ref="E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1=acute renal failure necessitating dialysis
</t>
        </r>
      </text>
    </comment>
    <comment ref="EU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1=pneumonia</t>
        </r>
      </text>
    </comment>
    <comment ref="EV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1=DVT</t>
        </r>
      </text>
    </comment>
    <comment ref="EW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1=PE</t>
        </r>
      </text>
    </comment>
    <comment ref="EX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1=MI
</t>
        </r>
      </text>
    </comment>
    <comment ref="EY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1=Respiratory Failure (reintubated)
</t>
        </r>
      </text>
    </comment>
    <comment ref="EZ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0=no
1=yes
</t>
        </r>
      </text>
    </comment>
    <comment ref="FA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month/day/4 digit year</t>
        </r>
      </text>
    </comment>
    <comment ref="FB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discharge by postoperative day (POD 10, mark "10")</t>
        </r>
      </text>
    </comment>
  </commentList>
</comments>
</file>

<file path=xl/comments2.xml><?xml version="1.0" encoding="utf-8"?>
<comments xmlns="http://schemas.openxmlformats.org/spreadsheetml/2006/main">
  <authors>
    <author>Hance, Lyla</author>
    <author>Kolarczyk, Lavinia</author>
    <author>Lavinia Kolarczyk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" authorId="1">
      <text>
        <r>
          <rPr>
            <b/>
            <sz val="9"/>
            <color indexed="81"/>
            <rFont val="Tahoma"/>
            <family val="2"/>
          </rPr>
          <t>Kolarczyk, Lavinia:</t>
        </r>
        <r>
          <rPr>
            <sz val="9"/>
            <color indexed="81"/>
            <rFont val="Tahoma"/>
            <family val="2"/>
          </rPr>
          <t xml:space="preserve">
1=male
2=female</t>
        </r>
      </text>
    </comment>
    <comment ref="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month/day/four digit year</t>
        </r>
      </text>
    </comment>
    <comment ref="L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0=non-smoker
1=previous smoker
2=current smoker</t>
        </r>
      </text>
    </comment>
    <comment ref="M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formal diagnosis
1=diagnosis</t>
        </r>
      </text>
    </comment>
    <comment ref="P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history
1=history of either TIA or CVA</t>
        </r>
      </text>
    </comment>
    <comment ref="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 lisinopril
2=enalapril
3=benazapril
4=captopril
5=quinapril
6=other</t>
        </r>
      </text>
    </comment>
    <comment ref="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U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1=losartan (Cozaar)
2=olmesartan (Benicar)
3=valsartan (Diovan)
4=irbesartan (Avapro)
5=telmisartan (Micardis)</t>
        </r>
      </text>
    </comment>
    <comment ref="V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W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X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1=metoprolol (Lopressor)
2=atenolol (Tenormin)
3=inderal (propranolol)
4=bisoprolol (Zebeta)
5=carvedilol (Coreg)</t>
        </r>
      </text>
    </comment>
    <comment ref="Y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A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1=amlodipine (Norvasc)
2=diltiazem (Cardizem)
3=verapamil (Calan)</t>
        </r>
      </text>
    </comment>
    <comment ref="AB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C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D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1=isosorbide mononitrate (Imdur)
2=isosorbide dinatrate (IsoDitrate)</t>
        </r>
      </text>
    </comment>
    <comment ref="AE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taking
1=currently taking</t>
        </r>
      </text>
    </comment>
    <comment ref="A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1=HCTZ (Mictozide)
2=furosemide (Lasix)
3=chlorothiazide (Diuril)
4=metolazone (Zaroxolyn)
5=amiloride
6=spironolactone
7=triamterene</t>
        </r>
      </text>
    </comment>
    <comment ref="AH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AI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second number on echo report (e.g., 60)</t>
        </r>
      </text>
    </comment>
    <comment ref="AJ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0=none 
1=mild
2=moderate
3=severe
4=unknown</t>
        </r>
      </text>
    </comment>
    <comment ref="A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20% of SBP</t>
        </r>
      </text>
    </comment>
    <comment ref="AY1" authorId="2">
      <text>
        <r>
          <rPr>
            <b/>
            <sz val="9"/>
            <color indexed="81"/>
            <rFont val="Calibri"/>
            <family val="2"/>
          </rPr>
          <t>Lavinia Kolarczyk:
volume consumed (ounces)</t>
        </r>
      </text>
    </comment>
    <comment ref="A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 yes
0= no</t>
        </r>
      </text>
    </comment>
    <comment ref="BA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volume (mL) administered during epidural placement</t>
        </r>
      </text>
    </comment>
    <comment ref="B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1=propofol
2=etomidate</t>
        </r>
      </text>
    </comment>
    <comment ref="B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propofol dose given after induction and before intubation (mg)</t>
        </r>
      </text>
    </comment>
    <comment ref="BH1" authorId="1">
      <text>
        <r>
          <rPr>
            <b/>
            <sz val="9"/>
            <color indexed="81"/>
            <rFont val="Tahoma"/>
            <family val="2"/>
          </rPr>
          <t>Kolarczyk, Lavinia:</t>
        </r>
        <r>
          <rPr>
            <sz val="9"/>
            <color indexed="81"/>
            <rFont val="Tahoma"/>
            <family val="2"/>
          </rPr>
          <t xml:space="preserve">
Any fentanyl given before and during induction</t>
        </r>
      </text>
    </comment>
    <comment ref="B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1=within 15 min of induction
2= within 20 min of epidural intiation
3=not associated with event</t>
        </r>
      </text>
    </comment>
    <comment ref="B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Count number of times recorded SBP values fall below target </t>
        </r>
      </text>
    </comment>
    <comment ref="BP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(mg)….if none given, mark 0</t>
        </r>
      </text>
    </comment>
    <comment ref="B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used
1=used norepi infusion</t>
        </r>
      </text>
    </comment>
    <comment ref="B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U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V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W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X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Y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recorded volume from maintanence LR infusion (5 mL/kg/hr)</t>
        </r>
      </text>
    </comment>
    <comment ref="BZ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volume of crystalloid other than maintanence infusion
(disregard 1000 mL bolus given during epidural)</t>
        </r>
      </text>
    </comment>
    <comment ref="C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0=none
1=one unit PRBC
2=2 units PRBC
3=3 units PRBC</t>
        </r>
      </text>
    </comment>
    <comment ref="C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additional opiate given
1=fentanyl
2=dilaudid
3=morphine
4=fentanyl + dilaudid
5=fentanyl + morphine</t>
        </r>
      </text>
    </comment>
    <comment ref="C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CS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CT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0=PACU
1=ICU</t>
        </r>
      </text>
    </comment>
    <comment ref="CU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estimated blood loss in mL
</t>
        </r>
      </text>
    </comment>
    <comment ref="CX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record total PACU time in minutes </t>
        </r>
      </text>
    </comment>
    <comment ref="DE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if removed on POD 1, mark "1"</t>
        </r>
      </text>
    </comment>
    <comment ref="DF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if removed on POD 2, mark "2"</t>
        </r>
      </text>
    </comment>
    <comment ref="DG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when event first occurred</t>
        </r>
      </text>
    </comment>
    <comment ref="DH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when event first occurred</t>
        </r>
      </text>
    </comment>
    <comment ref="DN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that bowel function returned (flatus or BM)</t>
        </r>
      </text>
    </comment>
    <comment ref="D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operative day when first oral intake was recorded (clears)</t>
        </r>
      </text>
    </comment>
    <comment ref="DQ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post op day epidural catheter was removed (e.g., if on POD#5, mark "5")</t>
        </r>
      </text>
    </comment>
    <comment ref="DR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first recorded post op pain score</t>
        </r>
      </text>
    </comment>
    <comment ref="EO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patients will all get accu check glc in PACU</t>
        </r>
      </text>
    </comment>
    <comment ref="EP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record highest glucose on EPIC (from chem 7 or accu check)</t>
        </r>
      </text>
    </comment>
    <comment ref="EU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1=acute renal failure necessitating dialysis
</t>
        </r>
      </text>
    </comment>
    <comment ref="EV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1=pneumonia</t>
        </r>
      </text>
    </comment>
    <comment ref="EW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1=DVT</t>
        </r>
      </text>
    </comment>
    <comment ref="EX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1=PE</t>
        </r>
      </text>
    </comment>
    <comment ref="EY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1=MI
</t>
        </r>
      </text>
    </comment>
    <comment ref="EZ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1=Respiratory Failure (reintubated)
</t>
        </r>
      </text>
    </comment>
    <comment ref="FA1" authorId="0">
      <text>
        <r>
          <rPr>
            <b/>
            <sz val="9"/>
            <color indexed="81"/>
            <rFont val="Tahoma"/>
            <family val="2"/>
          </rPr>
          <t>Hance, Lyla:</t>
        </r>
        <r>
          <rPr>
            <sz val="9"/>
            <color indexed="81"/>
            <rFont val="Tahoma"/>
            <family val="2"/>
          </rPr>
          <t xml:space="preserve">
0=no
1=yes
</t>
        </r>
      </text>
    </comment>
    <comment ref="FB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month/day/4 digit year</t>
        </r>
      </text>
    </comment>
    <comment ref="FC1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list discharge by postoperative day (POD 10, mark "10")</t>
        </r>
      </text>
    </comment>
    <comment ref="BF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1=propofol
2=etomidate</t>
        </r>
      </text>
    </comment>
    <comment ref="BG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propofol dose given after induction and before intubation (mg)</t>
        </r>
      </text>
    </comment>
    <comment ref="BH30" authorId="1">
      <text>
        <r>
          <rPr>
            <b/>
            <sz val="9"/>
            <color indexed="81"/>
            <rFont val="Tahoma"/>
            <family val="2"/>
          </rPr>
          <t>Kolarczyk, Lavinia:</t>
        </r>
        <r>
          <rPr>
            <sz val="9"/>
            <color indexed="81"/>
            <rFont val="Tahoma"/>
            <family val="2"/>
          </rPr>
          <t xml:space="preserve">
Any fentanyl given before and during induction</t>
        </r>
      </text>
    </comment>
    <comment ref="BO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Count number of times recorded SBP values fall below target </t>
        </r>
      </text>
    </comment>
    <comment ref="BP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(mg)….if none given, mark 0</t>
        </r>
      </text>
    </comment>
    <comment ref="BQ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used
1=used norepi infusion</t>
        </r>
      </text>
    </comment>
    <comment ref="BR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S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T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BU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(units)</t>
        </r>
      </text>
    </comment>
    <comment ref="BV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W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BX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IV dilaudid only, NOT epidural dilaudid </t>
        </r>
      </text>
    </comment>
    <comment ref="BY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recorded volume from maintanence LR infusion (5 mL/kg/hr)</t>
        </r>
      </text>
    </comment>
    <comment ref="BZ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total volume of crystalloid other than maintanence infusion
(disregard 1000 mL bolus given during epidural)</t>
        </r>
      </text>
    </comment>
    <comment ref="CN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0=none
1=one unit PRBC
2=2 units PRBC
3=3 units PRBC</t>
        </r>
      </text>
    </comment>
    <comment ref="CO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0=not extubated in OR
1=extubated in OR</t>
        </r>
      </text>
    </comment>
    <comment ref="CP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0=no additional opiate given
1=fentanyl
2=dilaudid
3=morphine
4=fentanyl + dilaudid
5=fentanyl + morphine</t>
        </r>
      </text>
    </comment>
    <comment ref="CQ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(mcg)</t>
        </r>
      </text>
    </comment>
    <comment ref="CR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(mg)</t>
        </r>
      </text>
    </comment>
    <comment ref="CS30" authorId="2">
      <text>
        <r>
          <rPr>
            <b/>
            <sz val="9"/>
            <color indexed="81"/>
            <rFont val="Calibri"/>
            <family val="2"/>
          </rPr>
          <t>Lavinia Kolarczyk:</t>
        </r>
        <r>
          <rPr>
            <sz val="9"/>
            <color indexed="81"/>
            <rFont val="Calibri"/>
            <family val="2"/>
          </rPr>
          <t xml:space="preserve">
0=PACU
1=ICU</t>
        </r>
      </text>
    </comment>
  </commentList>
</comments>
</file>

<file path=xl/sharedStrings.xml><?xml version="1.0" encoding="utf-8"?>
<sst xmlns="http://schemas.openxmlformats.org/spreadsheetml/2006/main" count="902" uniqueCount="407">
  <si>
    <t>Gender</t>
  </si>
  <si>
    <t>BMI</t>
  </si>
  <si>
    <t>Smoking_Status</t>
  </si>
  <si>
    <t>HTN</t>
  </si>
  <si>
    <t>CAD</t>
  </si>
  <si>
    <t>PVD</t>
  </si>
  <si>
    <t>CVA_TIA</t>
  </si>
  <si>
    <t>ACE</t>
  </si>
  <si>
    <t>ARB</t>
  </si>
  <si>
    <t>Beta_Blocker</t>
  </si>
  <si>
    <t>CCB</t>
  </si>
  <si>
    <t>Nitrate</t>
  </si>
  <si>
    <t>LVEF</t>
  </si>
  <si>
    <t>LVH</t>
  </si>
  <si>
    <t>Base_Hgb</t>
  </si>
  <si>
    <t>Base_Hct</t>
  </si>
  <si>
    <t>Base_Cr</t>
  </si>
  <si>
    <t>Base_GFR</t>
  </si>
  <si>
    <t>Pre_Clearfast</t>
  </si>
  <si>
    <t>Pre_Epidural</t>
  </si>
  <si>
    <t>Base_SBP</t>
  </si>
  <si>
    <t>Base_DBP</t>
  </si>
  <si>
    <t>Base_MAP</t>
  </si>
  <si>
    <t>Pre_IVF</t>
  </si>
  <si>
    <t>Intra_preinduction_SBP</t>
  </si>
  <si>
    <t>Intra_preinduction_DBP</t>
  </si>
  <si>
    <t>Intra_preinduction_MAP</t>
  </si>
  <si>
    <t>Intra_preinduction_HR</t>
  </si>
  <si>
    <t>Intra_induction_drug</t>
  </si>
  <si>
    <t>Intra_epidural_dilaudid</t>
  </si>
  <si>
    <t>Intra_initial_PPV</t>
  </si>
  <si>
    <t>Intra_lowest_SBP</t>
  </si>
  <si>
    <t>Intra_lowest_BP_Time</t>
  </si>
  <si>
    <t>ACE_name</t>
  </si>
  <si>
    <t>ACE_dose</t>
  </si>
  <si>
    <t>ARB_name</t>
  </si>
  <si>
    <t>ARB_dose</t>
  </si>
  <si>
    <t>BB_name</t>
  </si>
  <si>
    <t>BB_dose</t>
  </si>
  <si>
    <t>CCB_name</t>
  </si>
  <si>
    <t>CCB_dose</t>
  </si>
  <si>
    <t>Nitrate_name</t>
  </si>
  <si>
    <t>Nitrate_dose</t>
  </si>
  <si>
    <t>Diuretic</t>
  </si>
  <si>
    <t>Diuretic_name</t>
  </si>
  <si>
    <t>Diuretic_dose</t>
  </si>
  <si>
    <t>Intra_Hypotensive_Events_Number</t>
  </si>
  <si>
    <t>Intra_Pre_Reversal_Glyco</t>
  </si>
  <si>
    <t>Intra_Norepi</t>
  </si>
  <si>
    <t>Intra_Phenylepherine_dose</t>
  </si>
  <si>
    <t>Intra_ephedrine_dose</t>
  </si>
  <si>
    <t>Intra_vasopressin_dose</t>
  </si>
  <si>
    <t>Intra_epinepherine_dose</t>
  </si>
  <si>
    <t>Intra_total_fentanyl</t>
  </si>
  <si>
    <t>Intra_total_Dilaudid</t>
  </si>
  <si>
    <t>Intra_Maint_LR_volume</t>
  </si>
  <si>
    <t>Intra_Other_Crystalloid_volume</t>
  </si>
  <si>
    <t>Intra_albumin_volume</t>
  </si>
  <si>
    <t>Intra_PPV_1_hour</t>
  </si>
  <si>
    <t>Intra_PPV_2_hour</t>
  </si>
  <si>
    <t>Intra_PPV_3_hour</t>
  </si>
  <si>
    <t>Intra_PPV_4_hour</t>
  </si>
  <si>
    <t>Intra_PPV_6_hour</t>
  </si>
  <si>
    <t>Intra_PPV_7_hour</t>
  </si>
  <si>
    <t>Intra_PPV_8_hour</t>
  </si>
  <si>
    <t>Intra_PPV_final</t>
  </si>
  <si>
    <t>Intra_extubate</t>
  </si>
  <si>
    <t>Post_dispo</t>
  </si>
  <si>
    <t>Post_Initial_Pain</t>
  </si>
  <si>
    <t>Post_PACU_opiate</t>
  </si>
  <si>
    <t>Post_PACU_dialudid_dose</t>
  </si>
  <si>
    <t>Post_PACU_fentanyl_dose</t>
  </si>
  <si>
    <t>Post_PACU_admit_SBP</t>
  </si>
  <si>
    <t>Post_PACU_admit_DBP</t>
  </si>
  <si>
    <t>Post_PACU_MAP</t>
  </si>
  <si>
    <t>Post_PACU_HR</t>
  </si>
  <si>
    <t>Post_Foley_Removal</t>
  </si>
  <si>
    <t>Post_NG_Removal</t>
  </si>
  <si>
    <t>Post_Epidural_Removed</t>
  </si>
  <si>
    <t>Post_highest_pain_POD0</t>
  </si>
  <si>
    <t>Post_highest_pain_POD1</t>
  </si>
  <si>
    <t>Post_highest_pain_POD2</t>
  </si>
  <si>
    <t>Post_highest_pain_POD3</t>
  </si>
  <si>
    <t>Post_highest_pain_POD4</t>
  </si>
  <si>
    <t>Post_highest_pain_POD5</t>
  </si>
  <si>
    <t>Post_return_bowel</t>
  </si>
  <si>
    <t>Post_Cr_POD1</t>
  </si>
  <si>
    <t>Post_Cr_POD2</t>
  </si>
  <si>
    <t>Post_Cr_POD3</t>
  </si>
  <si>
    <t>Post_Cr_POD4</t>
  </si>
  <si>
    <t>Post_Cr_POD5</t>
  </si>
  <si>
    <t>Post_Hgb_POD2</t>
  </si>
  <si>
    <t>Post_Hgb_POD3</t>
  </si>
  <si>
    <t>Post_Hgb_POD4</t>
  </si>
  <si>
    <t>Post_Hgb_POD5</t>
  </si>
  <si>
    <t>Post_Hct_POD1</t>
  </si>
  <si>
    <t>Post_Hct_POD2</t>
  </si>
  <si>
    <t>Post_Hct_POD3</t>
  </si>
  <si>
    <t>Post_Hct_POD4</t>
  </si>
  <si>
    <t>Post_Hct_POD5</t>
  </si>
  <si>
    <t>Post_discharge_date</t>
  </si>
  <si>
    <t>Post_oral_intake_clears</t>
  </si>
  <si>
    <t>Post_oral_intake_soft</t>
  </si>
  <si>
    <t>Intra_initial_Hgb_ABG</t>
  </si>
  <si>
    <t>Intra_initial_glc_ABG</t>
  </si>
  <si>
    <t>Intra_lowest_Hgb_ABG</t>
  </si>
  <si>
    <t>Intra_highest_glc_ABG</t>
  </si>
  <si>
    <t>Intra_transfusion_PRBC</t>
  </si>
  <si>
    <t>Post_PACU_glc</t>
  </si>
  <si>
    <t>Post_high_glc_POD1</t>
  </si>
  <si>
    <t>Post_high_glc_POD2</t>
  </si>
  <si>
    <t>Post_high_glc_POD3</t>
  </si>
  <si>
    <t>Post_high_glc_POD4</t>
  </si>
  <si>
    <t>Post_high_glc_POD5</t>
  </si>
  <si>
    <t>Intra_induction_drug_dose</t>
  </si>
  <si>
    <t>Intra_induction_fentanyl</t>
  </si>
  <si>
    <t>Base_HgbA1C</t>
  </si>
  <si>
    <t>Intra_norepi_total</t>
  </si>
  <si>
    <t>Height_cm</t>
  </si>
  <si>
    <t>Weight_kg</t>
  </si>
  <si>
    <t>Intra_PPV_5_hour</t>
  </si>
  <si>
    <t>Ideal_body_weight_kg</t>
  </si>
  <si>
    <t>Target_SBP_high</t>
  </si>
  <si>
    <t>Target_SBP_low</t>
  </si>
  <si>
    <t>Intra_lowest_MAP</t>
  </si>
  <si>
    <t>Intra_lowest_DBP</t>
  </si>
  <si>
    <t>Post_ambulate</t>
  </si>
  <si>
    <t>Post_OOB_chair</t>
  </si>
  <si>
    <t>&gt;60</t>
  </si>
  <si>
    <t>Whitfield, Samuel T</t>
  </si>
  <si>
    <t>Levander Smith</t>
  </si>
  <si>
    <t>Clyde Everett Miller</t>
  </si>
  <si>
    <t>Post_complication_acute_renal_failure</t>
  </si>
  <si>
    <t>Post_complication_pneumonia</t>
  </si>
  <si>
    <t>Post_complication_DVT</t>
  </si>
  <si>
    <t>Post_complication_PE</t>
  </si>
  <si>
    <t>Post_complication_MI</t>
  </si>
  <si>
    <t>Post_complication_respiratory_failure</t>
  </si>
  <si>
    <t>George Braun</t>
  </si>
  <si>
    <t>Time_Clearfast</t>
  </si>
  <si>
    <t>Linda F Cobbs</t>
  </si>
  <si>
    <t>Gilda Becton McKinney</t>
  </si>
  <si>
    <t>DOB</t>
  </si>
  <si>
    <t>Age at DOS</t>
  </si>
  <si>
    <t>Charles Ray Moody</t>
  </si>
  <si>
    <t>Procedure</t>
  </si>
  <si>
    <t>Mean</t>
  </si>
  <si>
    <t>Median</t>
  </si>
  <si>
    <t>Ruth Strauss</t>
  </si>
  <si>
    <t>Post_Hgb_POD1</t>
  </si>
  <si>
    <t>Jacqueline Fennel</t>
  </si>
  <si>
    <t>Barbara Fischer Ligon</t>
  </si>
  <si>
    <t>Time_AnesthesiaStop</t>
  </si>
  <si>
    <t>Time_Induction</t>
  </si>
  <si>
    <t>Patient_in_Room</t>
  </si>
  <si>
    <t>propanolol</t>
  </si>
  <si>
    <t>distal</t>
  </si>
  <si>
    <t>Whipple</t>
  </si>
  <si>
    <t>MRN #</t>
  </si>
  <si>
    <t>000006850119</t>
  </si>
  <si>
    <t>000004178273</t>
  </si>
  <si>
    <t>000042569657</t>
  </si>
  <si>
    <t>000005096201</t>
  </si>
  <si>
    <t>000006343560</t>
  </si>
  <si>
    <t>100034249902</t>
  </si>
  <si>
    <t>100033870096</t>
  </si>
  <si>
    <t>000012216156</t>
  </si>
  <si>
    <t>100034224525</t>
  </si>
  <si>
    <t>000040920639</t>
  </si>
  <si>
    <t>100005336944</t>
  </si>
  <si>
    <t>100034417871</t>
  </si>
  <si>
    <t>000015856495</t>
  </si>
  <si>
    <t>EBL</t>
  </si>
  <si>
    <t>SICU</t>
  </si>
  <si>
    <t>Comments</t>
  </si>
  <si>
    <t>41966714</t>
  </si>
  <si>
    <t>41785924</t>
  </si>
  <si>
    <t>42003640</t>
  </si>
  <si>
    <t>40786055</t>
  </si>
  <si>
    <t>8638488</t>
  </si>
  <si>
    <t>10243715</t>
  </si>
  <si>
    <t>12956272</t>
  </si>
  <si>
    <t>20760518</t>
  </si>
  <si>
    <t>41984857</t>
  </si>
  <si>
    <t>20780664</t>
  </si>
  <si>
    <t>42144733</t>
  </si>
  <si>
    <t>18719641</t>
  </si>
  <si>
    <t>15433501</t>
  </si>
  <si>
    <t>20802302</t>
  </si>
  <si>
    <t>41888470</t>
  </si>
  <si>
    <t>41057761</t>
  </si>
  <si>
    <t>7669583</t>
  </si>
  <si>
    <t>42502575</t>
  </si>
  <si>
    <t>42607945</t>
  </si>
  <si>
    <t>42626937</t>
  </si>
  <si>
    <t>42602128</t>
  </si>
  <si>
    <t>9442971</t>
  </si>
  <si>
    <t>4419081</t>
  </si>
  <si>
    <t>000042710418</t>
  </si>
  <si>
    <t>000021229935</t>
  </si>
  <si>
    <t>000009141763</t>
  </si>
  <si>
    <t>000008186348</t>
  </si>
  <si>
    <t>000042702969</t>
  </si>
  <si>
    <t>000021257662</t>
  </si>
  <si>
    <t>000019361872</t>
  </si>
  <si>
    <t>000016257800</t>
  </si>
  <si>
    <t>000042487298</t>
  </si>
  <si>
    <t>000006619191</t>
  </si>
  <si>
    <t>000042737403</t>
  </si>
  <si>
    <t>Patient name</t>
  </si>
  <si>
    <t>ERAS</t>
  </si>
  <si>
    <t>Controls</t>
  </si>
  <si>
    <t>Whipple Procedures</t>
  </si>
  <si>
    <t>Mean LOS (days)</t>
  </si>
  <si>
    <t>Median LOS (days)</t>
  </si>
  <si>
    <t>Standard deviation (days)</t>
  </si>
  <si>
    <t>N=</t>
  </si>
  <si>
    <t>Difference</t>
  </si>
  <si>
    <t>Distal Pancreatectomies</t>
  </si>
  <si>
    <t>Crystalloids</t>
  </si>
  <si>
    <t>Albumin</t>
  </si>
  <si>
    <t>Abu Hilal, et al.</t>
  </si>
  <si>
    <t>Nikfarjam et al.</t>
  </si>
  <si>
    <t>Robertson et al.</t>
  </si>
  <si>
    <t>di Sebastiano et al.</t>
  </si>
  <si>
    <t>Kennedy et al.</t>
  </si>
  <si>
    <t>Balzano et al.</t>
  </si>
  <si>
    <t>Berberat et al.</t>
  </si>
  <si>
    <t>Vanounou et al.</t>
  </si>
  <si>
    <t>Porter et al.</t>
  </si>
  <si>
    <t>ERAS at UNC (Whipples)</t>
  </si>
  <si>
    <t>ERAS at UNC (Distals)</t>
  </si>
  <si>
    <t>Median LOS</t>
  </si>
  <si>
    <t>Llewellyn Johnson</t>
  </si>
  <si>
    <t>Day of Surgery</t>
  </si>
  <si>
    <t>1st Reported Pain</t>
  </si>
  <si>
    <t>Standard Deviation</t>
  </si>
  <si>
    <t>Surgery Dates: 7/10/2014-</t>
  </si>
  <si>
    <t>Mika Murphy</t>
  </si>
  <si>
    <t>100033674480</t>
  </si>
  <si>
    <t>Roy Parker, Jr.</t>
  </si>
  <si>
    <t>100034489177</t>
  </si>
  <si>
    <t>Owen Zebrun</t>
  </si>
  <si>
    <t>100002424412</t>
  </si>
  <si>
    <t>100034379717</t>
  </si>
  <si>
    <t>Whipples</t>
  </si>
  <si>
    <t>Distals</t>
  </si>
  <si>
    <t>neither</t>
  </si>
  <si>
    <t>-</t>
  </si>
  <si>
    <t>~</t>
  </si>
  <si>
    <t>Carolyn Dubose</t>
  </si>
  <si>
    <t>000002640340</t>
  </si>
  <si>
    <t>a</t>
  </si>
  <si>
    <t>1st Reported Pain Scores by ERAS Whipple patients</t>
  </si>
  <si>
    <t>Total Crystalloids</t>
  </si>
  <si>
    <t>---</t>
  </si>
  <si>
    <t>Wayne Wilmoth</t>
  </si>
  <si>
    <t>check discharge issues</t>
  </si>
  <si>
    <t>surgical complication</t>
  </si>
  <si>
    <t>Average Total Volume of Crystalloids and Colloids Administered (mL)</t>
  </si>
  <si>
    <t>p-value</t>
  </si>
  <si>
    <t>Lillie G Arnold</t>
  </si>
  <si>
    <t>Deirdra Simmons</t>
  </si>
  <si>
    <t>ND</t>
  </si>
  <si>
    <t>ND/"barely any pain"</t>
  </si>
  <si>
    <t>000005165972</t>
  </si>
  <si>
    <t>100034446128</t>
  </si>
  <si>
    <t>Anesthesia OUT</t>
  </si>
  <si>
    <t>Into PACU</t>
  </si>
  <si>
    <t>Ph I time min</t>
  </si>
  <si>
    <t>Ph 1 time min</t>
  </si>
  <si>
    <t>not sent</t>
  </si>
  <si>
    <t>Katherine D Taylor</t>
  </si>
  <si>
    <t>Michael K Lerg</t>
  </si>
  <si>
    <t>Sue Quinn Hicks</t>
  </si>
  <si>
    <t>Joseph M Sylvester</t>
  </si>
  <si>
    <t>Jolanta Pucilowska</t>
  </si>
  <si>
    <t>Tameeka Worthy</t>
  </si>
  <si>
    <t>Ellen Pinion Carr</t>
  </si>
  <si>
    <t>Chrystal B Treadwell</t>
  </si>
  <si>
    <t>Kenneth Todd</t>
  </si>
  <si>
    <t>Gasper De Simone</t>
  </si>
  <si>
    <t>Tyrone B Davis</t>
  </si>
  <si>
    <t>James D Dunn</t>
  </si>
  <si>
    <t>Hazel Woodland</t>
  </si>
  <si>
    <t>Louise S Henry</t>
  </si>
  <si>
    <t>Candace Barnhill</t>
  </si>
  <si>
    <t>Donna Stukes</t>
  </si>
  <si>
    <t>Ronald Cauble</t>
  </si>
  <si>
    <t>Marvin Hinds</t>
  </si>
  <si>
    <t>Patricia Jones</t>
  </si>
  <si>
    <t>Tammy Smith</t>
  </si>
  <si>
    <t>Cathy Toth</t>
  </si>
  <si>
    <t>Ronald Carroll</t>
  </si>
  <si>
    <t>Peggy Seawell</t>
  </si>
  <si>
    <t>Andrea Mattei</t>
  </si>
  <si>
    <t>Gaudalupe Tello</t>
  </si>
  <si>
    <t>Frank Dantonio</t>
  </si>
  <si>
    <t>William T Key</t>
  </si>
  <si>
    <t>Edgar Guevara</t>
  </si>
  <si>
    <t>Robert Gregory</t>
  </si>
  <si>
    <t>Doretta Martin</t>
  </si>
  <si>
    <t>Vance Jones</t>
  </si>
  <si>
    <t>Abdul Sadat</t>
  </si>
  <si>
    <t>Mavin Hinton</t>
  </si>
  <si>
    <t>Robbyn Ellender</t>
  </si>
  <si>
    <t>Mindy Finan</t>
  </si>
  <si>
    <t>Juliette Graham</t>
  </si>
  <si>
    <t>Anna Landing</t>
  </si>
  <si>
    <t>Tresa Winans</t>
  </si>
  <si>
    <t>Deadra Mitchell</t>
  </si>
  <si>
    <t>Cathy Vermillion</t>
  </si>
  <si>
    <t>Billy Reagan</t>
  </si>
  <si>
    <t>Vernell Elliott</t>
  </si>
  <si>
    <t>Paul Vandenhoven</t>
  </si>
  <si>
    <t xml:space="preserve">Linda Bailey </t>
  </si>
  <si>
    <t>Hazel Thelma</t>
  </si>
  <si>
    <t>Brenda Adams</t>
  </si>
  <si>
    <t>Kenneth Keel</t>
  </si>
  <si>
    <t>Eliseo Martinez-Palacios</t>
  </si>
  <si>
    <t>Ruth Woods</t>
  </si>
  <si>
    <t>Martin McCain</t>
  </si>
  <si>
    <t>Ann Beatty</t>
  </si>
  <si>
    <t>John Gossett Jr.</t>
  </si>
  <si>
    <t>Kelly Glass</t>
  </si>
  <si>
    <t>Thomas Elcan</t>
  </si>
  <si>
    <t>Dwight Holderfield</t>
  </si>
  <si>
    <t>Keeley L Williams</t>
  </si>
  <si>
    <t>Date</t>
  </si>
  <si>
    <t>Pain Score</t>
  </si>
  <si>
    <t>PRBC</t>
  </si>
  <si>
    <t>Thomas R Person</t>
  </si>
  <si>
    <t>Alfred Thomas Jones</t>
  </si>
  <si>
    <t>John David Herman</t>
  </si>
  <si>
    <t>Steven Eugene Dowler</t>
  </si>
  <si>
    <t>icu</t>
  </si>
  <si>
    <t>missing</t>
  </si>
  <si>
    <t>Steven Craig Fulghum</t>
  </si>
  <si>
    <t>James Kevin Hart</t>
  </si>
  <si>
    <t>DOC Patient</t>
  </si>
  <si>
    <t>chronic back pain Dr. Kim's discharge note</t>
  </si>
  <si>
    <t>Ann Hinson Smith</t>
  </si>
  <si>
    <t>first patient with updated epidural infusion strategy</t>
  </si>
  <si>
    <t>1st Reported Pain Scores by ERAS distal patients</t>
  </si>
  <si>
    <t>000008266462</t>
  </si>
  <si>
    <t>Ginger Snowden</t>
  </si>
  <si>
    <t>Conrad Sturges</t>
  </si>
  <si>
    <t>Linda Theresa Young</t>
  </si>
  <si>
    <t>000001216449</t>
  </si>
  <si>
    <t>100034899177</t>
  </si>
  <si>
    <t>100007306861</t>
  </si>
  <si>
    <t>100004876403</t>
  </si>
  <si>
    <t>Chlorthalidone</t>
  </si>
  <si>
    <t>Whipple Pancreatectomies</t>
  </si>
  <si>
    <t>Total LOS (days)</t>
  </si>
  <si>
    <t>PACU Ph I time (minutes)</t>
  </si>
  <si>
    <t>Mean (minutes)</t>
  </si>
  <si>
    <t>Median (minutes)</t>
  </si>
  <si>
    <t>Standard deviation (minutes)</t>
  </si>
  <si>
    <t>Christina McManus</t>
  </si>
  <si>
    <t>Jeronimo Garmilla</t>
  </si>
  <si>
    <t>100034806164</t>
  </si>
  <si>
    <t>000007432842</t>
  </si>
  <si>
    <t>PRBC Administered to distals (units)</t>
  </si>
  <si>
    <t>PRBC Administered to Whipples (units)</t>
  </si>
  <si>
    <t>Crystalloids (mL)</t>
  </si>
  <si>
    <t>Albumin (mL)</t>
  </si>
  <si>
    <t>Date of Surgery</t>
  </si>
  <si>
    <t>Length of stay (days)</t>
  </si>
  <si>
    <t>John F Clifford</t>
  </si>
  <si>
    <t>000011400090</t>
  </si>
  <si>
    <t>Ralf O Manngard</t>
  </si>
  <si>
    <t>Monte B Sanders</t>
  </si>
  <si>
    <t>Robert Evans</t>
  </si>
  <si>
    <t>000042661942</t>
  </si>
  <si>
    <t>Alsey Stott</t>
  </si>
  <si>
    <t>100034153104</t>
  </si>
  <si>
    <t>000041768268</t>
  </si>
  <si>
    <t>Beulah M Futrell</t>
  </si>
  <si>
    <t>Christopher Alan Ocilka</t>
  </si>
  <si>
    <t>George E. Cameron</t>
  </si>
  <si>
    <t>000016143398</t>
  </si>
  <si>
    <t>n/a</t>
  </si>
  <si>
    <t>Martha Lee Holiday</t>
  </si>
  <si>
    <t>000014146047</t>
  </si>
  <si>
    <t>100035145943</t>
  </si>
  <si>
    <t>0.56 mg</t>
  </si>
  <si>
    <t>1-extubated</t>
  </si>
  <si>
    <t>000010868362</t>
  </si>
  <si>
    <t>Marco A Zarco</t>
  </si>
  <si>
    <t>Yolanda D Tutt</t>
  </si>
  <si>
    <t>Ihor Sywanyk</t>
  </si>
  <si>
    <t>Post_ambulate_POD1</t>
  </si>
  <si>
    <t>Post_ambulate_POD2</t>
  </si>
  <si>
    <t>Post_ambulate_POD3</t>
  </si>
  <si>
    <t>Post_ambulate_POD4</t>
  </si>
  <si>
    <t>Post_ambulate_POD5</t>
  </si>
  <si>
    <t>100038741342</t>
  </si>
  <si>
    <t>LastCell</t>
  </si>
  <si>
    <t>Range</t>
  </si>
  <si>
    <t>UCL</t>
  </si>
  <si>
    <t xml:space="preserve"> +2 Sigma</t>
  </si>
  <si>
    <t xml:space="preserve"> +1 Sigma</t>
  </si>
  <si>
    <t>Average</t>
  </si>
  <si>
    <t xml:space="preserve"> -1 Sigma</t>
  </si>
  <si>
    <t xml:space="preserve"> -2 Sigma</t>
  </si>
  <si>
    <t>LCL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</si>
</sst>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m/d/yyyy;@"/>
    <numFmt numFmtId="165" formatCode="0.0"/>
    <numFmt numFmtId="166" formatCode="h:mm;@"/>
    <numFmt numFmtId="167" formatCode="&quot;$&quot;#,##0.00"/>
    <numFmt numFmtId="168" formatCode="0.0000"/>
    <numFmt numFmtId="169" formatCode="#,##0.0"/>
  </numFmts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2"/>
      <color rgb="FFFF3399"/>
      <name val="Calibri"/>
      <family val="2"/>
      <scheme val="minor"/>
    </font>
    <font>
      <sz val="12"/>
      <color theme="1"/>
      <name val="Arial"/>
      <family val="2"/>
    </font>
    <font>
      <sz val="12"/>
      <color rgb="FFFF0000"/>
      <name val="Calibri"/>
      <family val="2"/>
      <scheme val="minor"/>
    </font>
    <font>
      <sz val="16"/>
      <color rgb="FF494949"/>
      <name val="Calibri"/>
      <family val="2"/>
      <scheme val="minor"/>
    </font>
    <font>
      <sz val="12"/>
      <color theme="2" tint="-0.499984740745262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sz val="12"/>
      <color rgb="FF333333"/>
      <name val="Georgia"/>
      <family val="1"/>
    </font>
  </fonts>
  <fills count="2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CE9C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DAC8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269">
    <xf numFmtId="0" fontId="0" fillId="0" borderId="0" xfId="0"/>
    <xf numFmtId="0" fontId="0" fillId="0" borderId="0" xfId="0" applyFill="1"/>
    <xf numFmtId="2" fontId="0" fillId="0" borderId="0" xfId="0" applyNumberFormat="1" applyFill="1"/>
    <xf numFmtId="14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/>
    <xf numFmtId="1" fontId="0" fillId="0" borderId="0" xfId="0" applyNumberFormat="1" applyFill="1"/>
    <xf numFmtId="165" fontId="9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11" fillId="19" borderId="2" xfId="0" applyFont="1" applyFill="1" applyBorder="1"/>
    <xf numFmtId="0" fontId="11" fillId="16" borderId="2" xfId="0" applyFont="1" applyFill="1" applyBorder="1" applyAlignment="1">
      <alignment horizontal="center"/>
    </xf>
    <xf numFmtId="0" fontId="11" fillId="18" borderId="2" xfId="0" applyFont="1" applyFill="1" applyBorder="1" applyAlignment="1">
      <alignment horizontal="center"/>
    </xf>
    <xf numFmtId="0" fontId="11" fillId="19" borderId="2" xfId="0" applyFont="1" applyFill="1" applyBorder="1" applyAlignment="1">
      <alignment horizontal="right"/>
    </xf>
    <xf numFmtId="165" fontId="12" fillId="16" borderId="2" xfId="0" applyNumberFormat="1" applyFont="1" applyFill="1" applyBorder="1" applyAlignment="1">
      <alignment horizontal="center"/>
    </xf>
    <xf numFmtId="165" fontId="12" fillId="18" borderId="2" xfId="0" applyNumberFormat="1" applyFont="1" applyFill="1" applyBorder="1" applyAlignment="1">
      <alignment horizontal="center"/>
    </xf>
    <xf numFmtId="2" fontId="12" fillId="16" borderId="2" xfId="0" applyNumberFormat="1" applyFont="1" applyFill="1" applyBorder="1" applyAlignment="1">
      <alignment horizontal="center"/>
    </xf>
    <xf numFmtId="2" fontId="12" fillId="18" borderId="2" xfId="0" applyNumberFormat="1" applyFont="1" applyFill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Fill="1" applyAlignment="1">
      <alignment horizontal="center"/>
    </xf>
    <xf numFmtId="0" fontId="12" fillId="19" borderId="2" xfId="0" applyFont="1" applyFill="1" applyBorder="1" applyAlignment="1">
      <alignment horizontal="center"/>
    </xf>
    <xf numFmtId="0" fontId="0" fillId="0" borderId="0" xfId="0" applyFill="1" applyAlignment="1"/>
    <xf numFmtId="0" fontId="0" fillId="10" borderId="0" xfId="0" applyFont="1" applyFill="1" applyBorder="1" applyAlignment="1">
      <alignment horizontal="left"/>
    </xf>
    <xf numFmtId="0" fontId="0" fillId="19" borderId="0" xfId="0" applyFill="1"/>
    <xf numFmtId="0" fontId="0" fillId="0" borderId="0" xfId="0" applyFill="1" applyBorder="1"/>
    <xf numFmtId="0" fontId="0" fillId="0" borderId="0" xfId="0" applyBorder="1"/>
    <xf numFmtId="165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19" borderId="0" xfId="0" applyFont="1" applyFill="1" applyAlignment="1">
      <alignment horizontal="left"/>
    </xf>
    <xf numFmtId="49" fontId="9" fillId="19" borderId="0" xfId="0" applyNumberFormat="1" applyFont="1" applyFill="1" applyBorder="1" applyAlignment="1">
      <alignment horizontal="left"/>
    </xf>
    <xf numFmtId="14" fontId="9" fillId="19" borderId="0" xfId="0" applyNumberFormat="1" applyFont="1" applyFill="1" applyAlignment="1">
      <alignment horizontal="left"/>
    </xf>
    <xf numFmtId="165" fontId="0" fillId="19" borderId="0" xfId="0" applyNumberFormat="1" applyFont="1" applyFill="1" applyAlignment="1">
      <alignment horizontal="left"/>
    </xf>
    <xf numFmtId="165" fontId="9" fillId="19" borderId="0" xfId="0" applyNumberFormat="1" applyFont="1" applyFill="1" applyAlignment="1">
      <alignment horizontal="left"/>
    </xf>
    <xf numFmtId="2" fontId="0" fillId="19" borderId="0" xfId="0" applyNumberFormat="1" applyFont="1" applyFill="1" applyAlignment="1">
      <alignment horizontal="left"/>
    </xf>
    <xf numFmtId="14" fontId="0" fillId="19" borderId="0" xfId="0" applyNumberFormat="1" applyFont="1" applyFill="1" applyAlignment="1">
      <alignment horizontal="left"/>
    </xf>
    <xf numFmtId="0" fontId="14" fillId="19" borderId="0" xfId="0" applyFont="1" applyFill="1" applyAlignment="1">
      <alignment horizontal="left"/>
    </xf>
    <xf numFmtId="49" fontId="0" fillId="19" borderId="0" xfId="0" applyNumberFormat="1" applyFont="1" applyFill="1" applyBorder="1" applyAlignment="1">
      <alignment horizontal="left"/>
    </xf>
    <xf numFmtId="14" fontId="0" fillId="19" borderId="0" xfId="0" applyNumberFormat="1" applyFont="1" applyFill="1" applyBorder="1" applyAlignment="1">
      <alignment horizontal="left"/>
    </xf>
    <xf numFmtId="0" fontId="10" fillId="19" borderId="0" xfId="0" applyFont="1" applyFill="1" applyAlignment="1">
      <alignment horizontal="left"/>
    </xf>
    <xf numFmtId="0" fontId="0" fillId="19" borderId="0" xfId="0" applyFill="1" applyAlignment="1">
      <alignment vertical="center"/>
    </xf>
    <xf numFmtId="49" fontId="0" fillId="19" borderId="1" xfId="0" applyNumberFormat="1" applyFont="1" applyFill="1" applyBorder="1" applyAlignment="1">
      <alignment horizontal="left"/>
    </xf>
    <xf numFmtId="167" fontId="0" fillId="19" borderId="0" xfId="0" applyNumberFormat="1" applyFont="1" applyFill="1" applyBorder="1" applyAlignment="1">
      <alignment horizontal="left"/>
    </xf>
    <xf numFmtId="14" fontId="0" fillId="19" borderId="1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14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left"/>
    </xf>
    <xf numFmtId="166" fontId="0" fillId="0" borderId="0" xfId="0" applyNumberFormat="1" applyFill="1" applyAlignment="1">
      <alignment horizontal="left"/>
    </xf>
    <xf numFmtId="20" fontId="0" fillId="0" borderId="0" xfId="0" applyNumberFormat="1" applyFill="1" applyAlignment="1">
      <alignment horizontal="left"/>
    </xf>
    <xf numFmtId="2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1" fontId="0" fillId="0" borderId="0" xfId="0" applyNumberFormat="1" applyFill="1" applyAlignment="1">
      <alignment horizontal="left"/>
    </xf>
    <xf numFmtId="49" fontId="0" fillId="0" borderId="0" xfId="0" applyNumberForma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/>
    </xf>
    <xf numFmtId="0" fontId="0" fillId="0" borderId="0" xfId="0" applyFill="1" applyAlignment="1">
      <alignment horizontal="left" vertical="center"/>
    </xf>
    <xf numFmtId="3" fontId="0" fillId="0" borderId="0" xfId="0" applyNumberFormat="1" applyFill="1" applyAlignment="1">
      <alignment horizontal="left"/>
    </xf>
    <xf numFmtId="49" fontId="0" fillId="0" borderId="0" xfId="0" applyNumberFormat="1" applyFill="1" applyAlignment="1">
      <alignment horizontal="left" vertical="center"/>
    </xf>
    <xf numFmtId="49" fontId="0" fillId="0" borderId="0" xfId="0" applyNumberFormat="1" applyFill="1" applyAlignment="1">
      <alignment horizontal="left"/>
    </xf>
    <xf numFmtId="1" fontId="0" fillId="0" borderId="0" xfId="0" applyNumberFormat="1" applyAlignment="1">
      <alignment horizontal="left"/>
    </xf>
    <xf numFmtId="49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Fill="1" applyBorder="1" applyAlignment="1">
      <alignment horizontal="right"/>
    </xf>
    <xf numFmtId="49" fontId="9" fillId="20" borderId="0" xfId="0" applyNumberFormat="1" applyFont="1" applyFill="1" applyBorder="1" applyAlignment="1">
      <alignment horizontal="left"/>
    </xf>
    <xf numFmtId="0" fontId="9" fillId="20" borderId="0" xfId="0" applyFont="1" applyFill="1" applyBorder="1" applyAlignment="1">
      <alignment horizontal="left" wrapText="1"/>
    </xf>
    <xf numFmtId="0" fontId="0" fillId="20" borderId="0" xfId="0" applyFont="1" applyFill="1" applyBorder="1" applyAlignment="1">
      <alignment horizontal="left"/>
    </xf>
    <xf numFmtId="14" fontId="0" fillId="20" borderId="0" xfId="0" applyNumberFormat="1" applyFont="1" applyFill="1" applyBorder="1" applyAlignment="1">
      <alignment horizontal="left"/>
    </xf>
    <xf numFmtId="49" fontId="0" fillId="20" borderId="0" xfId="0" applyNumberFormat="1" applyFont="1" applyFill="1" applyBorder="1" applyAlignment="1">
      <alignment horizontal="left"/>
    </xf>
    <xf numFmtId="1" fontId="0" fillId="20" borderId="0" xfId="0" applyNumberFormat="1" applyFont="1" applyFill="1" applyBorder="1" applyAlignment="1">
      <alignment horizontal="left"/>
    </xf>
    <xf numFmtId="14" fontId="9" fillId="20" borderId="0" xfId="0" applyNumberFormat="1" applyFont="1" applyFill="1" applyBorder="1" applyAlignment="1">
      <alignment horizontal="left"/>
    </xf>
    <xf numFmtId="165" fontId="0" fillId="20" borderId="0" xfId="0" applyNumberFormat="1" applyFont="1" applyFill="1" applyBorder="1" applyAlignment="1">
      <alignment horizontal="left"/>
    </xf>
    <xf numFmtId="165" fontId="9" fillId="20" borderId="0" xfId="0" applyNumberFormat="1" applyFont="1" applyFill="1" applyBorder="1" applyAlignment="1">
      <alignment horizontal="left"/>
    </xf>
    <xf numFmtId="2" fontId="0" fillId="20" borderId="0" xfId="0" applyNumberFormat="1" applyFont="1" applyFill="1" applyBorder="1" applyAlignment="1">
      <alignment horizontal="left"/>
    </xf>
    <xf numFmtId="0" fontId="0" fillId="20" borderId="0" xfId="0" applyFill="1" applyBorder="1"/>
    <xf numFmtId="0" fontId="9" fillId="20" borderId="0" xfId="0" applyFont="1" applyFill="1" applyBorder="1" applyAlignment="1">
      <alignment horizontal="left"/>
    </xf>
    <xf numFmtId="0" fontId="8" fillId="20" borderId="0" xfId="0" applyFont="1" applyFill="1" applyBorder="1" applyAlignment="1">
      <alignment horizontal="left"/>
    </xf>
    <xf numFmtId="0" fontId="0" fillId="20" borderId="0" xfId="0" applyFill="1" applyBorder="1" applyAlignment="1">
      <alignment vertical="center"/>
    </xf>
    <xf numFmtId="165" fontId="0" fillId="20" borderId="0" xfId="0" quotePrefix="1" applyNumberFormat="1" applyFont="1" applyFill="1" applyBorder="1" applyAlignment="1">
      <alignment horizontal="left"/>
    </xf>
    <xf numFmtId="0" fontId="10" fillId="20" borderId="0" xfId="0" applyFont="1" applyFill="1" applyBorder="1" applyAlignment="1">
      <alignment horizontal="left"/>
    </xf>
    <xf numFmtId="0" fontId="0" fillId="0" borderId="0" xfId="0" applyFont="1" applyBorder="1"/>
    <xf numFmtId="0" fontId="0" fillId="4" borderId="0" xfId="0" applyFont="1" applyFill="1" applyBorder="1" applyAlignment="1">
      <alignment horizontal="left"/>
    </xf>
    <xf numFmtId="0" fontId="0" fillId="6" borderId="0" xfId="0" applyFont="1" applyFill="1" applyBorder="1" applyAlignment="1">
      <alignment horizontal="left"/>
    </xf>
    <xf numFmtId="165" fontId="0" fillId="4" borderId="0" xfId="0" applyNumberFormat="1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0" fillId="3" borderId="0" xfId="0" applyFont="1" applyFill="1" applyBorder="1" applyAlignment="1">
      <alignment horizontal="left"/>
    </xf>
    <xf numFmtId="166" fontId="0" fillId="15" borderId="0" xfId="0" applyNumberFormat="1" applyFill="1" applyBorder="1"/>
    <xf numFmtId="0" fontId="0" fillId="15" borderId="0" xfId="0" applyFill="1" applyBorder="1"/>
    <xf numFmtId="0" fontId="0" fillId="0" borderId="0" xfId="0" applyFont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3" fillId="6" borderId="0" xfId="0" applyFont="1" applyFill="1" applyBorder="1" applyAlignment="1">
      <alignment horizontal="left"/>
    </xf>
    <xf numFmtId="0" fontId="0" fillId="7" borderId="0" xfId="0" applyFont="1" applyFill="1" applyBorder="1" applyAlignment="1">
      <alignment horizontal="left"/>
    </xf>
    <xf numFmtId="0" fontId="0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0" fillId="8" borderId="0" xfId="0" applyFont="1" applyFill="1" applyBorder="1" applyAlignment="1">
      <alignment horizontal="left"/>
    </xf>
    <xf numFmtId="0" fontId="0" fillId="14" borderId="0" xfId="0" applyFont="1" applyFill="1" applyBorder="1" applyAlignment="1">
      <alignment horizontal="left"/>
    </xf>
    <xf numFmtId="0" fontId="0" fillId="9" borderId="0" xfId="0" applyFont="1" applyFill="1" applyBorder="1" applyAlignment="1">
      <alignment horizontal="left"/>
    </xf>
    <xf numFmtId="0" fontId="0" fillId="13" borderId="0" xfId="0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20" fontId="0" fillId="17" borderId="0" xfId="0" applyNumberFormat="1" applyFill="1" applyBorder="1" applyAlignment="1">
      <alignment horizontal="left"/>
    </xf>
    <xf numFmtId="1" fontId="0" fillId="17" borderId="0" xfId="0" applyNumberFormat="1" applyFill="1" applyBorder="1" applyAlignment="1">
      <alignment horizontal="left"/>
    </xf>
    <xf numFmtId="165" fontId="0" fillId="0" borderId="0" xfId="0" applyNumberFormat="1" applyFill="1" applyBorder="1"/>
    <xf numFmtId="0" fontId="10" fillId="7" borderId="0" xfId="0" applyFont="1" applyFill="1" applyBorder="1" applyAlignment="1">
      <alignment horizontal="left"/>
    </xf>
    <xf numFmtId="0" fontId="0" fillId="6" borderId="0" xfId="0" applyFill="1" applyBorder="1"/>
    <xf numFmtId="20" fontId="0" fillId="20" borderId="0" xfId="0" applyNumberFormat="1" applyFont="1" applyFill="1" applyBorder="1" applyAlignment="1">
      <alignment horizontal="left"/>
    </xf>
    <xf numFmtId="20" fontId="0" fillId="20" borderId="0" xfId="0" applyNumberFormat="1" applyFill="1" applyBorder="1" applyAlignment="1">
      <alignment horizontal="left"/>
    </xf>
    <xf numFmtId="20" fontId="0" fillId="19" borderId="0" xfId="0" applyNumberFormat="1" applyFont="1" applyFill="1" applyAlignment="1">
      <alignment horizontal="left"/>
    </xf>
    <xf numFmtId="0" fontId="0" fillId="20" borderId="0" xfId="0" applyFont="1" applyFill="1" applyBorder="1"/>
    <xf numFmtId="0" fontId="0" fillId="20" borderId="0" xfId="0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2" fontId="0" fillId="0" borderId="0" xfId="0" applyNumberFormat="1" applyFill="1" applyBorder="1" applyAlignment="1">
      <alignment horizontal="center"/>
    </xf>
    <xf numFmtId="14" fontId="0" fillId="0" borderId="0" xfId="0" applyNumberFormat="1"/>
    <xf numFmtId="0" fontId="11" fillId="0" borderId="2" xfId="0" applyFont="1" applyBorder="1"/>
    <xf numFmtId="0" fontId="11" fillId="0" borderId="2" xfId="0" applyFont="1" applyFill="1" applyBorder="1" applyAlignment="1">
      <alignment horizontal="right"/>
    </xf>
    <xf numFmtId="165" fontId="15" fillId="20" borderId="0" xfId="0" applyNumberFormat="1" applyFont="1" applyFill="1" applyBorder="1" applyAlignment="1">
      <alignment horizontal="left"/>
    </xf>
    <xf numFmtId="0" fontId="0" fillId="8" borderId="0" xfId="0" applyFont="1" applyFill="1" applyBorder="1" applyAlignment="1">
      <alignment horizontal="left" vertical="top"/>
    </xf>
    <xf numFmtId="0" fontId="0" fillId="20" borderId="0" xfId="0" applyFont="1" applyFill="1" applyBorder="1" applyAlignment="1">
      <alignment horizontal="left" vertical="top"/>
    </xf>
    <xf numFmtId="0" fontId="0" fillId="0" borderId="0" xfId="0" applyFill="1" applyAlignment="1">
      <alignment vertical="top"/>
    </xf>
    <xf numFmtId="0" fontId="0" fillId="20" borderId="0" xfId="0" applyFill="1" applyBorder="1" applyAlignment="1">
      <alignment horizontal="left" vertical="top"/>
    </xf>
    <xf numFmtId="0" fontId="15" fillId="20" borderId="0" xfId="0" applyFont="1" applyFill="1" applyBorder="1" applyAlignment="1">
      <alignment horizontal="left"/>
    </xf>
    <xf numFmtId="0" fontId="0" fillId="20" borderId="0" xfId="0" applyFill="1" applyBorder="1" applyAlignment="1">
      <alignment horizontal="left"/>
    </xf>
    <xf numFmtId="0" fontId="0" fillId="0" borderId="0" xfId="0" applyFill="1" applyAlignment="1">
      <alignment horizontal="left" vertical="top"/>
    </xf>
    <xf numFmtId="165" fontId="0" fillId="0" borderId="0" xfId="0" applyNumberFormat="1" applyFill="1" applyAlignment="1">
      <alignment horizontal="left" vertical="top"/>
    </xf>
    <xf numFmtId="20" fontId="0" fillId="0" borderId="0" xfId="0" applyNumberFormat="1" applyFill="1" applyAlignment="1">
      <alignment horizontal="left" vertical="top"/>
    </xf>
    <xf numFmtId="2" fontId="0" fillId="0" borderId="0" xfId="0" applyNumberFormat="1" applyFill="1" applyAlignment="1">
      <alignment horizontal="left" vertical="top"/>
    </xf>
    <xf numFmtId="14" fontId="0" fillId="0" borderId="0" xfId="0" applyNumberFormat="1" applyFill="1" applyAlignment="1">
      <alignment horizontal="left" vertical="top"/>
    </xf>
    <xf numFmtId="14" fontId="0" fillId="4" borderId="0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 vertical="top"/>
    </xf>
    <xf numFmtId="49" fontId="0" fillId="0" borderId="0" xfId="0" applyNumberFormat="1" applyFill="1" applyAlignment="1">
      <alignment horizontal="right"/>
    </xf>
    <xf numFmtId="0" fontId="11" fillId="17" borderId="2" xfId="0" applyFont="1" applyFill="1" applyBorder="1"/>
    <xf numFmtId="168" fontId="11" fillId="0" borderId="4" xfId="0" applyNumberFormat="1" applyFont="1" applyBorder="1"/>
    <xf numFmtId="0" fontId="11" fillId="0" borderId="4" xfId="0" applyFont="1" applyBorder="1"/>
    <xf numFmtId="0" fontId="11" fillId="0" borderId="5" xfId="0" applyFont="1" applyBorder="1"/>
    <xf numFmtId="168" fontId="11" fillId="0" borderId="3" xfId="0" applyNumberFormat="1" applyFont="1" applyBorder="1"/>
    <xf numFmtId="0" fontId="11" fillId="0" borderId="0" xfId="0" applyFont="1"/>
    <xf numFmtId="0" fontId="11" fillId="0" borderId="2" xfId="0" applyFont="1" applyFill="1" applyBorder="1" applyAlignment="1">
      <alignment horizontal="left"/>
    </xf>
    <xf numFmtId="0" fontId="11" fillId="20" borderId="2" xfId="0" applyFont="1" applyFill="1" applyBorder="1"/>
    <xf numFmtId="0" fontId="11" fillId="16" borderId="2" xfId="0" applyFont="1" applyFill="1" applyBorder="1"/>
    <xf numFmtId="0" fontId="11" fillId="20" borderId="2" xfId="0" applyFont="1" applyFill="1" applyBorder="1" applyAlignment="1">
      <alignment horizontal="right"/>
    </xf>
    <xf numFmtId="0" fontId="11" fillId="20" borderId="2" xfId="0" applyFont="1" applyFill="1" applyBorder="1" applyAlignment="1">
      <alignment horizontal="center"/>
    </xf>
    <xf numFmtId="0" fontId="12" fillId="20" borderId="2" xfId="0" applyFont="1" applyFill="1" applyBorder="1" applyAlignment="1">
      <alignment horizontal="center"/>
    </xf>
    <xf numFmtId="165" fontId="11" fillId="16" borderId="2" xfId="0" applyNumberFormat="1" applyFont="1" applyFill="1" applyBorder="1" applyAlignment="1">
      <alignment horizontal="center"/>
    </xf>
    <xf numFmtId="165" fontId="11" fillId="16" borderId="2" xfId="0" applyNumberFormat="1" applyFont="1" applyFill="1" applyBorder="1"/>
    <xf numFmtId="2" fontId="11" fillId="16" borderId="2" xfId="0" applyNumberFormat="1" applyFont="1" applyFill="1" applyBorder="1" applyAlignment="1">
      <alignment horizontal="center"/>
    </xf>
    <xf numFmtId="2" fontId="11" fillId="0" borderId="2" xfId="0" applyNumberFormat="1" applyFont="1" applyFill="1" applyBorder="1" applyAlignment="1">
      <alignment horizontal="center"/>
    </xf>
    <xf numFmtId="165" fontId="11" fillId="0" borderId="2" xfId="0" applyNumberFormat="1" applyFont="1" applyFill="1" applyBorder="1"/>
    <xf numFmtId="2" fontId="11" fillId="16" borderId="2" xfId="0" applyNumberFormat="1" applyFont="1" applyFill="1" applyBorder="1"/>
    <xf numFmtId="168" fontId="11" fillId="0" borderId="2" xfId="0" applyNumberFormat="1" applyFont="1" applyFill="1" applyBorder="1" applyAlignment="1">
      <alignment horizontal="center"/>
    </xf>
    <xf numFmtId="169" fontId="11" fillId="16" borderId="2" xfId="0" applyNumberFormat="1" applyFont="1" applyFill="1" applyBorder="1" applyAlignment="1">
      <alignment horizontal="center"/>
    </xf>
    <xf numFmtId="169" fontId="11" fillId="16" borderId="2" xfId="0" applyNumberFormat="1" applyFont="1" applyFill="1" applyBorder="1"/>
    <xf numFmtId="14" fontId="11" fillId="16" borderId="2" xfId="0" applyNumberFormat="1" applyFont="1" applyFill="1" applyBorder="1" applyAlignment="1">
      <alignment horizontal="right"/>
    </xf>
    <xf numFmtId="14" fontId="11" fillId="16" borderId="2" xfId="0" applyNumberFormat="1" applyFont="1" applyFill="1" applyBorder="1" applyAlignment="1">
      <alignment horizontal="left"/>
    </xf>
    <xf numFmtId="0" fontId="11" fillId="0" borderId="2" xfId="0" applyFont="1" applyFill="1" applyBorder="1"/>
    <xf numFmtId="1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2" xfId="0" applyNumberFormat="1" applyFont="1" applyBorder="1" applyAlignment="1">
      <alignment horizontal="center"/>
    </xf>
    <xf numFmtId="1" fontId="11" fillId="0" borderId="2" xfId="0" applyNumberFormat="1" applyFont="1" applyBorder="1"/>
    <xf numFmtId="165" fontId="11" fillId="0" borderId="6" xfId="0" applyNumberFormat="1" applyFont="1" applyBorder="1" applyAlignment="1">
      <alignment horizontal="center"/>
    </xf>
    <xf numFmtId="165" fontId="11" fillId="0" borderId="6" xfId="0" applyNumberFormat="1" applyFont="1" applyBorder="1"/>
    <xf numFmtId="0" fontId="11" fillId="20" borderId="3" xfId="0" applyFont="1" applyFill="1" applyBorder="1" applyAlignment="1">
      <alignment horizontal="right"/>
    </xf>
    <xf numFmtId="168" fontId="16" fillId="0" borderId="4" xfId="0" applyNumberFormat="1" applyFont="1" applyBorder="1"/>
    <xf numFmtId="1" fontId="11" fillId="20" borderId="2" xfId="0" applyNumberFormat="1" applyFont="1" applyFill="1" applyBorder="1"/>
    <xf numFmtId="168" fontId="12" fillId="0" borderId="3" xfId="0" applyNumberFormat="1" applyFont="1" applyBorder="1"/>
    <xf numFmtId="168" fontId="12" fillId="0" borderId="4" xfId="0" applyNumberFormat="1" applyFont="1" applyBorder="1"/>
    <xf numFmtId="2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14" fontId="0" fillId="0" borderId="0" xfId="0" applyNumberFormat="1" applyAlignment="1">
      <alignment horizontal="left"/>
    </xf>
    <xf numFmtId="1" fontId="0" fillId="19" borderId="0" xfId="0" applyNumberFormat="1" applyFont="1" applyFill="1" applyAlignment="1">
      <alignment horizontal="left"/>
    </xf>
    <xf numFmtId="1" fontId="0" fillId="0" borderId="0" xfId="0" applyNumberFormat="1" applyFill="1" applyAlignment="1">
      <alignment horizontal="left" vertical="top"/>
    </xf>
    <xf numFmtId="168" fontId="11" fillId="0" borderId="2" xfId="0" applyNumberFormat="1" applyFont="1" applyBorder="1"/>
    <xf numFmtId="1" fontId="0" fillId="6" borderId="0" xfId="0" applyNumberFormat="1" applyFill="1" applyBorder="1"/>
    <xf numFmtId="14" fontId="9" fillId="19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>
      <alignment horizontal="left" vertical="top" wrapText="1"/>
    </xf>
    <xf numFmtId="14" fontId="0" fillId="0" borderId="0" xfId="0" applyNumberFormat="1" applyFill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166" fontId="0" fillId="0" borderId="0" xfId="0" applyNumberFormat="1" applyFill="1" applyBorder="1" applyAlignment="1">
      <alignment horizontal="left"/>
    </xf>
    <xf numFmtId="20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0" fontId="0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2" fontId="0" fillId="0" borderId="0" xfId="0" applyNumberFormat="1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/>
    <xf numFmtId="49" fontId="0" fillId="0" borderId="0" xfId="0" applyNumberForma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vertical="top"/>
    </xf>
    <xf numFmtId="0" fontId="15" fillId="0" borderId="0" xfId="0" applyFont="1" applyFill="1" applyBorder="1"/>
    <xf numFmtId="49" fontId="10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4" fontId="10" fillId="0" borderId="0" xfId="0" applyNumberFormat="1" applyFont="1" applyFill="1" applyBorder="1" applyAlignment="1">
      <alignment horizontal="left"/>
    </xf>
    <xf numFmtId="165" fontId="10" fillId="0" borderId="0" xfId="0" applyNumberFormat="1" applyFont="1" applyFill="1" applyBorder="1" applyAlignment="1">
      <alignment horizontal="left"/>
    </xf>
    <xf numFmtId="1" fontId="10" fillId="0" borderId="0" xfId="0" applyNumberFormat="1" applyFont="1" applyFill="1" applyBorder="1" applyAlignment="1">
      <alignment horizontal="left"/>
    </xf>
    <xf numFmtId="166" fontId="10" fillId="0" borderId="0" xfId="0" applyNumberFormat="1" applyFont="1" applyFill="1" applyBorder="1" applyAlignment="1">
      <alignment horizontal="left"/>
    </xf>
    <xf numFmtId="20" fontId="10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164" fontId="10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Alignment="1">
      <alignment horizontal="left" vertical="top"/>
    </xf>
    <xf numFmtId="0" fontId="15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0" fillId="6" borderId="0" xfId="0" applyFill="1" applyBorder="1" applyAlignment="1">
      <alignment horizontal="left"/>
    </xf>
    <xf numFmtId="0" fontId="0" fillId="6" borderId="0" xfId="0" applyFill="1" applyAlignment="1">
      <alignment horizontal="left"/>
    </xf>
    <xf numFmtId="0" fontId="10" fillId="6" borderId="0" xfId="0" applyFont="1" applyFill="1" applyAlignment="1">
      <alignment horizontal="left" vertical="top"/>
    </xf>
    <xf numFmtId="166" fontId="0" fillId="0" borderId="0" xfId="0" applyNumberFormat="1" applyFill="1" applyAlignment="1">
      <alignment horizontal="left" vertical="top"/>
    </xf>
    <xf numFmtId="0" fontId="17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166" fontId="0" fillId="6" borderId="0" xfId="0" applyNumberFormat="1" applyFill="1" applyAlignment="1">
      <alignment horizontal="left"/>
    </xf>
    <xf numFmtId="0" fontId="0" fillId="6" borderId="0" xfId="0" applyFill="1" applyAlignment="1">
      <alignment horizontal="left" vertical="top"/>
    </xf>
    <xf numFmtId="2" fontId="0" fillId="6" borderId="0" xfId="0" applyNumberFormat="1" applyFill="1" applyAlignment="1">
      <alignment horizontal="left"/>
    </xf>
    <xf numFmtId="4" fontId="11" fillId="16" borderId="2" xfId="0" applyNumberFormat="1" applyFont="1" applyFill="1" applyBorder="1"/>
    <xf numFmtId="0" fontId="0" fillId="6" borderId="0" xfId="0" applyFill="1"/>
    <xf numFmtId="165" fontId="0" fillId="6" borderId="0" xfId="0" applyNumberFormat="1" applyFill="1"/>
    <xf numFmtId="2" fontId="0" fillId="6" borderId="0" xfId="0" applyNumberFormat="1" applyFill="1"/>
    <xf numFmtId="0" fontId="0" fillId="6" borderId="0" xfId="0" applyFill="1" applyAlignment="1">
      <alignment horizontal="center"/>
    </xf>
    <xf numFmtId="0" fontId="0" fillId="6" borderId="0" xfId="0" applyFill="1" applyAlignment="1">
      <alignment vertical="top"/>
    </xf>
    <xf numFmtId="14" fontId="0" fillId="6" borderId="0" xfId="0" applyNumberFormat="1" applyFill="1" applyAlignment="1">
      <alignment horizontal="left"/>
    </xf>
    <xf numFmtId="0" fontId="19" fillId="0" borderId="0" xfId="0" applyFont="1"/>
    <xf numFmtId="14" fontId="0" fillId="0" borderId="0" xfId="0" applyNumberFormat="1" applyFill="1" applyAlignment="1"/>
    <xf numFmtId="20" fontId="0" fillId="0" borderId="0" xfId="0" applyNumberFormat="1" applyFill="1" applyAlignment="1">
      <alignment horizontal="left"/>
    </xf>
    <xf numFmtId="20" fontId="0" fillId="0" borderId="0" xfId="0" applyNumberFormat="1" applyFill="1" applyAlignment="1">
      <alignment horizontal="left" vertical="top"/>
    </xf>
    <xf numFmtId="20" fontId="15" fillId="0" borderId="0" xfId="0" applyNumberFormat="1" applyFont="1" applyFill="1" applyBorder="1" applyAlignment="1">
      <alignment horizontal="left"/>
    </xf>
    <xf numFmtId="20" fontId="10" fillId="0" borderId="0" xfId="0" applyNumberFormat="1" applyFont="1" applyFill="1" applyBorder="1" applyAlignment="1">
      <alignment horizontal="left"/>
    </xf>
    <xf numFmtId="1" fontId="0" fillId="0" borderId="0" xfId="0" applyNumberFormat="1"/>
    <xf numFmtId="0" fontId="0" fillId="0" borderId="0" xfId="0" applyFill="1" applyAlignment="1"/>
    <xf numFmtId="14" fontId="0" fillId="19" borderId="0" xfId="0" applyNumberFormat="1" applyFont="1" applyFill="1" applyBorder="1" applyAlignment="1">
      <alignment horizontal="left"/>
    </xf>
    <xf numFmtId="14" fontId="0" fillId="19" borderId="1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14" fontId="0" fillId="0" borderId="0" xfId="0" applyNumberFormat="1" applyFill="1" applyAlignment="1">
      <alignment horizontal="left"/>
    </xf>
    <xf numFmtId="20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1" fontId="0" fillId="0" borderId="0" xfId="0" applyNumberFormat="1" applyFill="1" applyAlignment="1">
      <alignment horizontal="left"/>
    </xf>
    <xf numFmtId="1" fontId="0" fillId="0" borderId="0" xfId="0" applyNumberFormat="1" applyAlignment="1">
      <alignment horizontal="left"/>
    </xf>
    <xf numFmtId="14" fontId="0" fillId="20" borderId="0" xfId="0" applyNumberFormat="1" applyFont="1" applyFill="1" applyBorder="1" applyAlignment="1">
      <alignment horizontal="left"/>
    </xf>
    <xf numFmtId="14" fontId="9" fillId="20" borderId="0" xfId="0" applyNumberFormat="1" applyFont="1" applyFill="1" applyBorder="1" applyAlignment="1">
      <alignment horizontal="left"/>
    </xf>
    <xf numFmtId="165" fontId="0" fillId="20" borderId="0" xfId="0" applyNumberFormat="1" applyFont="1" applyFill="1" applyBorder="1" applyAlignment="1">
      <alignment horizontal="left"/>
    </xf>
    <xf numFmtId="14" fontId="0" fillId="0" borderId="0" xfId="0" applyNumberFormat="1"/>
    <xf numFmtId="165" fontId="0" fillId="0" borderId="0" xfId="0" applyNumberFormat="1" applyFill="1" applyAlignment="1">
      <alignment horizontal="left" vertical="top"/>
    </xf>
    <xf numFmtId="20" fontId="0" fillId="0" borderId="0" xfId="0" applyNumberFormat="1" applyFill="1" applyAlignment="1">
      <alignment horizontal="left" vertical="top"/>
    </xf>
    <xf numFmtId="14" fontId="0" fillId="0" borderId="0" xfId="0" applyNumberFormat="1" applyFill="1" applyAlignment="1">
      <alignment horizontal="left" vertical="top"/>
    </xf>
    <xf numFmtId="14" fontId="0" fillId="4" borderId="0" xfId="0" applyNumberFormat="1" applyFont="1" applyFill="1" applyBorder="1" applyAlignment="1">
      <alignment horizontal="left"/>
    </xf>
    <xf numFmtId="14" fontId="0" fillId="0" borderId="0" xfId="0" applyNumberFormat="1" applyAlignment="1">
      <alignment horizontal="left"/>
    </xf>
    <xf numFmtId="1" fontId="0" fillId="19" borderId="0" xfId="0" applyNumberFormat="1" applyFont="1" applyFill="1" applyAlignment="1">
      <alignment horizontal="left"/>
    </xf>
    <xf numFmtId="1" fontId="0" fillId="0" borderId="0" xfId="0" applyNumberFormat="1" applyFill="1" applyAlignment="1">
      <alignment horizontal="left" vertical="top"/>
    </xf>
    <xf numFmtId="14" fontId="9" fillId="19" borderId="0" xfId="0" applyNumberFormat="1" applyFont="1" applyFill="1" applyBorder="1" applyAlignment="1">
      <alignment horizontal="left"/>
    </xf>
    <xf numFmtId="14" fontId="0" fillId="0" borderId="0" xfId="0" applyNumberFormat="1" applyFill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20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left"/>
    </xf>
    <xf numFmtId="20" fontId="15" fillId="0" borderId="0" xfId="0" applyNumberFormat="1" applyFont="1" applyFill="1" applyBorder="1" applyAlignment="1">
      <alignment horizontal="left"/>
    </xf>
    <xf numFmtId="14" fontId="10" fillId="0" borderId="0" xfId="0" applyNumberFormat="1" applyFont="1" applyFill="1" applyBorder="1" applyAlignment="1">
      <alignment horizontal="left"/>
    </xf>
    <xf numFmtId="1" fontId="10" fillId="0" borderId="0" xfId="0" applyNumberFormat="1" applyFont="1" applyFill="1" applyBorder="1" applyAlignment="1">
      <alignment horizontal="left"/>
    </xf>
    <xf numFmtId="165" fontId="0" fillId="6" borderId="0" xfId="0" applyNumberFormat="1" applyFont="1" applyFill="1" applyBorder="1" applyAlignment="1">
      <alignment horizontal="left"/>
    </xf>
    <xf numFmtId="165" fontId="0" fillId="0" borderId="0" xfId="0" applyNumberFormat="1"/>
    <xf numFmtId="165" fontId="0" fillId="6" borderId="0" xfId="0" applyNumberFormat="1" applyFill="1" applyAlignment="1">
      <alignment horizontal="left"/>
    </xf>
    <xf numFmtId="165" fontId="0" fillId="0" borderId="0" xfId="0" applyNumberFormat="1" applyFill="1" applyAlignment="1"/>
    <xf numFmtId="1" fontId="0" fillId="6" borderId="0" xfId="0" applyNumberFormat="1" applyFont="1" applyFill="1" applyBorder="1" applyAlignment="1">
      <alignment horizontal="left"/>
    </xf>
  </cellXfs>
  <cellStyles count="5">
    <cellStyle name="Normal" xfId="0" builtinId="0"/>
    <cellStyle name="Normal 2" xfId="1"/>
    <cellStyle name="Normal 2 2" xfId="3"/>
    <cellStyle name="Normal 3" xfId="2"/>
    <cellStyle name="Normal 3 2" xfId="4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99"/>
      <color rgb="FFDAC8D7"/>
      <color rgb="FFFF9999"/>
      <color rgb="FF9999FF"/>
      <color rgb="FFCC99FF"/>
      <color rgb="FFECE9C4"/>
      <color rgb="FFFFFFCC"/>
      <color rgb="FFFFFFFF"/>
      <color rgb="FF66FF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worksheet" Target="worksheets/sheet9.xml"/><Relationship Id="rId18" Type="http://schemas.openxmlformats.org/officeDocument/2006/relationships/styles" Target="styles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3.xml"/><Relationship Id="rId12" Type="http://schemas.openxmlformats.org/officeDocument/2006/relationships/worksheet" Target="worksheets/sheet8.xml"/><Relationship Id="rId17" Type="http://schemas.openxmlformats.org/officeDocument/2006/relationships/theme" Target="theme/theme1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1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4.xml"/><Relationship Id="rId11" Type="http://schemas.openxmlformats.org/officeDocument/2006/relationships/worksheet" Target="worksheets/sheet7.xml"/><Relationship Id="rId5" Type="http://schemas.openxmlformats.org/officeDocument/2006/relationships/chartsheet" Target="chartsheets/sheet3.xml"/><Relationship Id="rId15" Type="http://schemas.openxmlformats.org/officeDocument/2006/relationships/worksheet" Target="worksheets/sheet11.xml"/><Relationship Id="rId10" Type="http://schemas.openxmlformats.org/officeDocument/2006/relationships/worksheet" Target="worksheets/sheet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(days)'!$K$1</c:f>
              <c:strCache>
                <c:ptCount val="1"/>
                <c:pt idx="0">
                  <c:v>Range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6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7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54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9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60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61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62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(days)'!$K$2:$K$64</c:f>
              <c:numCache>
                <c:formatCode>0.0</c:formatCode>
                <c:ptCount val="63"/>
                <c:pt idx="1">
                  <c:v>3</c:v>
                </c:pt>
                <c:pt idx="2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5</c:v>
                </c:pt>
                <c:pt idx="13">
                  <c:v>11</c:v>
                </c:pt>
                <c:pt idx="14">
                  <c:v>1</c:v>
                </c:pt>
                <c:pt idx="15">
                  <c:v>14</c:v>
                </c:pt>
                <c:pt idx="16">
                  <c:v>2</c:v>
                </c:pt>
                <c:pt idx="17">
                  <c:v>3</c:v>
                </c:pt>
                <c:pt idx="18">
                  <c:v>8</c:v>
                </c:pt>
                <c:pt idx="19">
                  <c:v>7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0</c:v>
                </c:pt>
                <c:pt idx="30">
                  <c:v>11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12</c:v>
                </c:pt>
                <c:pt idx="39">
                  <c:v>15</c:v>
                </c:pt>
                <c:pt idx="40">
                  <c:v>2</c:v>
                </c:pt>
                <c:pt idx="41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2</c:v>
                </c:pt>
                <c:pt idx="53">
                  <c:v>8</c:v>
                </c:pt>
                <c:pt idx="54">
                  <c:v>10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(days)'!$L$1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690673103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925035493924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(days)'!$L$2:$L$64</c:f>
              <c:numCache>
                <c:formatCode>0.0</c:formatCode>
                <c:ptCount val="63"/>
                <c:pt idx="1">
                  <c:v>15.697536585365853</c:v>
                </c:pt>
                <c:pt idx="2">
                  <c:v>15.697536585365853</c:v>
                </c:pt>
                <c:pt idx="3">
                  <c:v>15.697536585365853</c:v>
                </c:pt>
                <c:pt idx="4">
                  <c:v>15.697536585365853</c:v>
                </c:pt>
                <c:pt idx="5">
                  <c:v>15.697536585365853</c:v>
                </c:pt>
                <c:pt idx="6">
                  <c:v>15.697536585365853</c:v>
                </c:pt>
                <c:pt idx="7">
                  <c:v>15.697536585365853</c:v>
                </c:pt>
                <c:pt idx="8">
                  <c:v>15.697536585365853</c:v>
                </c:pt>
                <c:pt idx="9">
                  <c:v>15.697536585365853</c:v>
                </c:pt>
                <c:pt idx="10">
                  <c:v>15.697536585365853</c:v>
                </c:pt>
                <c:pt idx="11">
                  <c:v>15.697536585365853</c:v>
                </c:pt>
                <c:pt idx="12">
                  <c:v>15.697536585365853</c:v>
                </c:pt>
                <c:pt idx="13">
                  <c:v>15.697536585365853</c:v>
                </c:pt>
                <c:pt idx="14">
                  <c:v>15.697536585365853</c:v>
                </c:pt>
                <c:pt idx="15">
                  <c:v>15.697536585365853</c:v>
                </c:pt>
                <c:pt idx="16">
                  <c:v>15.697536585365853</c:v>
                </c:pt>
                <c:pt idx="17">
                  <c:v>15.697536585365853</c:v>
                </c:pt>
                <c:pt idx="18">
                  <c:v>15.697536585365853</c:v>
                </c:pt>
                <c:pt idx="19">
                  <c:v>15.697536585365853</c:v>
                </c:pt>
                <c:pt idx="20">
                  <c:v>15.697536585365853</c:v>
                </c:pt>
                <c:pt idx="21">
                  <c:v>15.697536585365853</c:v>
                </c:pt>
                <c:pt idx="22">
                  <c:v>15.697536585365853</c:v>
                </c:pt>
                <c:pt idx="23">
                  <c:v>15.697536585365853</c:v>
                </c:pt>
                <c:pt idx="24">
                  <c:v>15.697536585365853</c:v>
                </c:pt>
                <c:pt idx="25">
                  <c:v>15.697536585365853</c:v>
                </c:pt>
                <c:pt idx="26">
                  <c:v>15.697536585365853</c:v>
                </c:pt>
                <c:pt idx="27">
                  <c:v>15.697536585365853</c:v>
                </c:pt>
                <c:pt idx="28">
                  <c:v>15.697536585365853</c:v>
                </c:pt>
                <c:pt idx="29">
                  <c:v>15.697536585365853</c:v>
                </c:pt>
                <c:pt idx="30">
                  <c:v>15.697536585365853</c:v>
                </c:pt>
                <c:pt idx="31">
                  <c:v>15.697536585365853</c:v>
                </c:pt>
                <c:pt idx="32">
                  <c:v>15.697536585365853</c:v>
                </c:pt>
                <c:pt idx="33">
                  <c:v>15.697536585365853</c:v>
                </c:pt>
                <c:pt idx="34">
                  <c:v>15.697536585365853</c:v>
                </c:pt>
                <c:pt idx="35">
                  <c:v>15.697536585365853</c:v>
                </c:pt>
                <c:pt idx="36">
                  <c:v>15.697536585365853</c:v>
                </c:pt>
                <c:pt idx="37">
                  <c:v>15.697536585365853</c:v>
                </c:pt>
                <c:pt idx="38">
                  <c:v>15.697536585365853</c:v>
                </c:pt>
                <c:pt idx="39">
                  <c:v>15.697536585365853</c:v>
                </c:pt>
                <c:pt idx="40">
                  <c:v>15.697536585365853</c:v>
                </c:pt>
                <c:pt idx="41">
                  <c:v>15.697536585365853</c:v>
                </c:pt>
                <c:pt idx="43">
                  <c:v>7.5656842105263156</c:v>
                </c:pt>
                <c:pt idx="44">
                  <c:v>7.5656842105263156</c:v>
                </c:pt>
                <c:pt idx="45">
                  <c:v>7.5656842105263156</c:v>
                </c:pt>
                <c:pt idx="46">
                  <c:v>7.5656842105263156</c:v>
                </c:pt>
                <c:pt idx="47">
                  <c:v>7.5656842105263156</c:v>
                </c:pt>
                <c:pt idx="48">
                  <c:v>7.5656842105263156</c:v>
                </c:pt>
                <c:pt idx="49">
                  <c:v>7.5656842105263156</c:v>
                </c:pt>
                <c:pt idx="50">
                  <c:v>7.5656842105263156</c:v>
                </c:pt>
                <c:pt idx="51">
                  <c:v>7.5656842105263156</c:v>
                </c:pt>
                <c:pt idx="52">
                  <c:v>7.5656842105263156</c:v>
                </c:pt>
                <c:pt idx="53">
                  <c:v>7.5656842105263156</c:v>
                </c:pt>
                <c:pt idx="54">
                  <c:v>7.5656842105263156</c:v>
                </c:pt>
                <c:pt idx="55">
                  <c:v>7.5656842105263156</c:v>
                </c:pt>
                <c:pt idx="56">
                  <c:v>7.5656842105263156</c:v>
                </c:pt>
                <c:pt idx="57">
                  <c:v>7.5656842105263156</c:v>
                </c:pt>
                <c:pt idx="58">
                  <c:v>7.5656842105263156</c:v>
                </c:pt>
                <c:pt idx="59">
                  <c:v>7.5656842105263156</c:v>
                </c:pt>
                <c:pt idx="60">
                  <c:v>7.5656842105263156</c:v>
                </c:pt>
                <c:pt idx="61">
                  <c:v>7.5656842105263156</c:v>
                </c:pt>
                <c:pt idx="62">
                  <c:v>7.5656842105263156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(days)'!$M$1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(days)'!$M$2:$M$64</c:f>
              <c:numCache>
                <c:formatCode>0.0</c:formatCode>
                <c:ptCount val="63"/>
                <c:pt idx="1">
                  <c:v>12.066650406504063</c:v>
                </c:pt>
                <c:pt idx="2">
                  <c:v>12.066650406504063</c:v>
                </c:pt>
                <c:pt idx="3">
                  <c:v>12.066650406504063</c:v>
                </c:pt>
                <c:pt idx="4">
                  <c:v>12.066650406504063</c:v>
                </c:pt>
                <c:pt idx="5">
                  <c:v>12.066650406504063</c:v>
                </c:pt>
                <c:pt idx="6">
                  <c:v>12.066650406504063</c:v>
                </c:pt>
                <c:pt idx="7">
                  <c:v>12.066650406504063</c:v>
                </c:pt>
                <c:pt idx="8">
                  <c:v>12.066650406504063</c:v>
                </c:pt>
                <c:pt idx="9">
                  <c:v>12.066650406504063</c:v>
                </c:pt>
                <c:pt idx="10">
                  <c:v>12.066650406504063</c:v>
                </c:pt>
                <c:pt idx="11">
                  <c:v>12.066650406504063</c:v>
                </c:pt>
                <c:pt idx="12">
                  <c:v>12.066650406504063</c:v>
                </c:pt>
                <c:pt idx="13">
                  <c:v>12.066650406504063</c:v>
                </c:pt>
                <c:pt idx="14">
                  <c:v>12.066650406504063</c:v>
                </c:pt>
                <c:pt idx="15">
                  <c:v>12.066650406504063</c:v>
                </c:pt>
                <c:pt idx="16">
                  <c:v>12.066650406504063</c:v>
                </c:pt>
                <c:pt idx="17">
                  <c:v>12.066650406504063</c:v>
                </c:pt>
                <c:pt idx="18">
                  <c:v>12.066650406504063</c:v>
                </c:pt>
                <c:pt idx="19">
                  <c:v>12.066650406504063</c:v>
                </c:pt>
                <c:pt idx="20">
                  <c:v>12.066650406504063</c:v>
                </c:pt>
                <c:pt idx="21">
                  <c:v>12.066650406504063</c:v>
                </c:pt>
                <c:pt idx="22">
                  <c:v>12.066650406504063</c:v>
                </c:pt>
                <c:pt idx="23">
                  <c:v>12.066650406504063</c:v>
                </c:pt>
                <c:pt idx="24">
                  <c:v>12.066650406504063</c:v>
                </c:pt>
                <c:pt idx="25">
                  <c:v>12.066650406504063</c:v>
                </c:pt>
                <c:pt idx="26">
                  <c:v>12.066650406504063</c:v>
                </c:pt>
                <c:pt idx="27">
                  <c:v>12.066650406504063</c:v>
                </c:pt>
                <c:pt idx="28">
                  <c:v>12.066650406504063</c:v>
                </c:pt>
                <c:pt idx="29">
                  <c:v>12.066650406504063</c:v>
                </c:pt>
                <c:pt idx="30">
                  <c:v>12.066650406504063</c:v>
                </c:pt>
                <c:pt idx="31">
                  <c:v>12.066650406504063</c:v>
                </c:pt>
                <c:pt idx="32">
                  <c:v>12.066650406504063</c:v>
                </c:pt>
                <c:pt idx="33">
                  <c:v>12.066650406504063</c:v>
                </c:pt>
                <c:pt idx="34">
                  <c:v>12.066650406504063</c:v>
                </c:pt>
                <c:pt idx="35">
                  <c:v>12.066650406504063</c:v>
                </c:pt>
                <c:pt idx="36">
                  <c:v>12.066650406504063</c:v>
                </c:pt>
                <c:pt idx="37">
                  <c:v>12.066650406504063</c:v>
                </c:pt>
                <c:pt idx="38">
                  <c:v>12.066650406504063</c:v>
                </c:pt>
                <c:pt idx="39">
                  <c:v>12.066650406504063</c:v>
                </c:pt>
                <c:pt idx="40">
                  <c:v>12.066650406504063</c:v>
                </c:pt>
                <c:pt idx="41">
                  <c:v>12.066650406504063</c:v>
                </c:pt>
                <c:pt idx="43">
                  <c:v>5.8157192982456136</c:v>
                </c:pt>
                <c:pt idx="44">
                  <c:v>5.8157192982456136</c:v>
                </c:pt>
                <c:pt idx="45">
                  <c:v>5.8157192982456136</c:v>
                </c:pt>
                <c:pt idx="46">
                  <c:v>5.8157192982456136</c:v>
                </c:pt>
                <c:pt idx="47">
                  <c:v>5.8157192982456136</c:v>
                </c:pt>
                <c:pt idx="48">
                  <c:v>5.8157192982456136</c:v>
                </c:pt>
                <c:pt idx="49">
                  <c:v>5.8157192982456136</c:v>
                </c:pt>
                <c:pt idx="50">
                  <c:v>5.8157192982456136</c:v>
                </c:pt>
                <c:pt idx="51">
                  <c:v>5.8157192982456136</c:v>
                </c:pt>
                <c:pt idx="52">
                  <c:v>5.8157192982456136</c:v>
                </c:pt>
                <c:pt idx="53">
                  <c:v>5.8157192982456136</c:v>
                </c:pt>
                <c:pt idx="54">
                  <c:v>5.8157192982456136</c:v>
                </c:pt>
                <c:pt idx="55">
                  <c:v>5.8157192982456136</c:v>
                </c:pt>
                <c:pt idx="56">
                  <c:v>5.8157192982456136</c:v>
                </c:pt>
                <c:pt idx="57">
                  <c:v>5.8157192982456136</c:v>
                </c:pt>
                <c:pt idx="58">
                  <c:v>5.8157192982456136</c:v>
                </c:pt>
                <c:pt idx="59">
                  <c:v>5.8157192982456136</c:v>
                </c:pt>
                <c:pt idx="60">
                  <c:v>5.8157192982456136</c:v>
                </c:pt>
                <c:pt idx="61">
                  <c:v>5.8157192982456136</c:v>
                </c:pt>
                <c:pt idx="62">
                  <c:v>5.8157192982456136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(days)'!$N$1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(days)'!$N$2:$N$64</c:f>
              <c:numCache>
                <c:formatCode>0.0</c:formatCode>
                <c:ptCount val="63"/>
                <c:pt idx="1">
                  <c:v>8.4357642276422755</c:v>
                </c:pt>
                <c:pt idx="2">
                  <c:v>8.4357642276422755</c:v>
                </c:pt>
                <c:pt idx="3">
                  <c:v>8.4357642276422755</c:v>
                </c:pt>
                <c:pt idx="4">
                  <c:v>8.4357642276422755</c:v>
                </c:pt>
                <c:pt idx="5">
                  <c:v>8.4357642276422755</c:v>
                </c:pt>
                <c:pt idx="6">
                  <c:v>8.4357642276422755</c:v>
                </c:pt>
                <c:pt idx="7">
                  <c:v>8.4357642276422755</c:v>
                </c:pt>
                <c:pt idx="8">
                  <c:v>8.4357642276422755</c:v>
                </c:pt>
                <c:pt idx="9">
                  <c:v>8.4357642276422755</c:v>
                </c:pt>
                <c:pt idx="10">
                  <c:v>8.4357642276422755</c:v>
                </c:pt>
                <c:pt idx="11">
                  <c:v>8.4357642276422755</c:v>
                </c:pt>
                <c:pt idx="12">
                  <c:v>8.4357642276422755</c:v>
                </c:pt>
                <c:pt idx="13">
                  <c:v>8.4357642276422755</c:v>
                </c:pt>
                <c:pt idx="14">
                  <c:v>8.4357642276422755</c:v>
                </c:pt>
                <c:pt idx="15">
                  <c:v>8.4357642276422755</c:v>
                </c:pt>
                <c:pt idx="16">
                  <c:v>8.4357642276422755</c:v>
                </c:pt>
                <c:pt idx="17">
                  <c:v>8.4357642276422755</c:v>
                </c:pt>
                <c:pt idx="18">
                  <c:v>8.4357642276422755</c:v>
                </c:pt>
                <c:pt idx="19">
                  <c:v>8.4357642276422755</c:v>
                </c:pt>
                <c:pt idx="20">
                  <c:v>8.4357642276422755</c:v>
                </c:pt>
                <c:pt idx="21">
                  <c:v>8.4357642276422755</c:v>
                </c:pt>
                <c:pt idx="22">
                  <c:v>8.4357642276422755</c:v>
                </c:pt>
                <c:pt idx="23">
                  <c:v>8.4357642276422755</c:v>
                </c:pt>
                <c:pt idx="24">
                  <c:v>8.4357642276422755</c:v>
                </c:pt>
                <c:pt idx="25">
                  <c:v>8.4357642276422755</c:v>
                </c:pt>
                <c:pt idx="26">
                  <c:v>8.4357642276422755</c:v>
                </c:pt>
                <c:pt idx="27">
                  <c:v>8.4357642276422755</c:v>
                </c:pt>
                <c:pt idx="28">
                  <c:v>8.4357642276422755</c:v>
                </c:pt>
                <c:pt idx="29">
                  <c:v>8.4357642276422755</c:v>
                </c:pt>
                <c:pt idx="30">
                  <c:v>8.4357642276422755</c:v>
                </c:pt>
                <c:pt idx="31">
                  <c:v>8.4357642276422755</c:v>
                </c:pt>
                <c:pt idx="32">
                  <c:v>8.4357642276422755</c:v>
                </c:pt>
                <c:pt idx="33">
                  <c:v>8.4357642276422755</c:v>
                </c:pt>
                <c:pt idx="34">
                  <c:v>8.4357642276422755</c:v>
                </c:pt>
                <c:pt idx="35">
                  <c:v>8.4357642276422755</c:v>
                </c:pt>
                <c:pt idx="36">
                  <c:v>8.4357642276422755</c:v>
                </c:pt>
                <c:pt idx="37">
                  <c:v>8.4357642276422755</c:v>
                </c:pt>
                <c:pt idx="38">
                  <c:v>8.4357642276422755</c:v>
                </c:pt>
                <c:pt idx="39">
                  <c:v>8.4357642276422755</c:v>
                </c:pt>
                <c:pt idx="40">
                  <c:v>8.4357642276422755</c:v>
                </c:pt>
                <c:pt idx="41">
                  <c:v>8.4357642276422755</c:v>
                </c:pt>
                <c:pt idx="43">
                  <c:v>4.0657543859649117</c:v>
                </c:pt>
                <c:pt idx="44">
                  <c:v>4.0657543859649117</c:v>
                </c:pt>
                <c:pt idx="45">
                  <c:v>4.0657543859649117</c:v>
                </c:pt>
                <c:pt idx="46">
                  <c:v>4.0657543859649117</c:v>
                </c:pt>
                <c:pt idx="47">
                  <c:v>4.0657543859649117</c:v>
                </c:pt>
                <c:pt idx="48">
                  <c:v>4.0657543859649117</c:v>
                </c:pt>
                <c:pt idx="49">
                  <c:v>4.0657543859649117</c:v>
                </c:pt>
                <c:pt idx="50">
                  <c:v>4.0657543859649117</c:v>
                </c:pt>
                <c:pt idx="51">
                  <c:v>4.0657543859649117</c:v>
                </c:pt>
                <c:pt idx="52">
                  <c:v>4.0657543859649117</c:v>
                </c:pt>
                <c:pt idx="53">
                  <c:v>4.0657543859649117</c:v>
                </c:pt>
                <c:pt idx="54">
                  <c:v>4.0657543859649117</c:v>
                </c:pt>
                <c:pt idx="55">
                  <c:v>4.0657543859649117</c:v>
                </c:pt>
                <c:pt idx="56">
                  <c:v>4.0657543859649117</c:v>
                </c:pt>
                <c:pt idx="57">
                  <c:v>4.0657543859649117</c:v>
                </c:pt>
                <c:pt idx="58">
                  <c:v>4.0657543859649117</c:v>
                </c:pt>
                <c:pt idx="59">
                  <c:v>4.0657543859649117</c:v>
                </c:pt>
                <c:pt idx="60">
                  <c:v>4.0657543859649117</c:v>
                </c:pt>
                <c:pt idx="61">
                  <c:v>4.0657543859649117</c:v>
                </c:pt>
                <c:pt idx="62">
                  <c:v>4.0657543859649117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(days)'!$O$1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(days)'!$O$2:$O$64</c:f>
              <c:numCache>
                <c:formatCode>0.0</c:formatCode>
                <c:ptCount val="63"/>
                <c:pt idx="0">
                  <c:v>4.8048780487804876</c:v>
                </c:pt>
                <c:pt idx="1">
                  <c:v>4.8048780487804876</c:v>
                </c:pt>
                <c:pt idx="2">
                  <c:v>4.8048780487804876</c:v>
                </c:pt>
                <c:pt idx="3">
                  <c:v>4.8048780487804876</c:v>
                </c:pt>
                <c:pt idx="4">
                  <c:v>4.8048780487804876</c:v>
                </c:pt>
                <c:pt idx="5">
                  <c:v>4.8048780487804876</c:v>
                </c:pt>
                <c:pt idx="6">
                  <c:v>4.8048780487804876</c:v>
                </c:pt>
                <c:pt idx="7">
                  <c:v>4.8048780487804876</c:v>
                </c:pt>
                <c:pt idx="8">
                  <c:v>4.8048780487804876</c:v>
                </c:pt>
                <c:pt idx="9">
                  <c:v>4.8048780487804876</c:v>
                </c:pt>
                <c:pt idx="10">
                  <c:v>4.8048780487804876</c:v>
                </c:pt>
                <c:pt idx="11">
                  <c:v>4.8048780487804876</c:v>
                </c:pt>
                <c:pt idx="12">
                  <c:v>4.8048780487804876</c:v>
                </c:pt>
                <c:pt idx="13">
                  <c:v>4.8048780487804876</c:v>
                </c:pt>
                <c:pt idx="14">
                  <c:v>4.8048780487804876</c:v>
                </c:pt>
                <c:pt idx="15">
                  <c:v>4.8048780487804876</c:v>
                </c:pt>
                <c:pt idx="16">
                  <c:v>4.8048780487804876</c:v>
                </c:pt>
                <c:pt idx="17">
                  <c:v>4.8048780487804876</c:v>
                </c:pt>
                <c:pt idx="18">
                  <c:v>4.8048780487804876</c:v>
                </c:pt>
                <c:pt idx="19">
                  <c:v>4.8048780487804876</c:v>
                </c:pt>
                <c:pt idx="20">
                  <c:v>4.8048780487804876</c:v>
                </c:pt>
                <c:pt idx="21">
                  <c:v>4.8048780487804876</c:v>
                </c:pt>
                <c:pt idx="22">
                  <c:v>4.8048780487804876</c:v>
                </c:pt>
                <c:pt idx="23">
                  <c:v>4.8048780487804876</c:v>
                </c:pt>
                <c:pt idx="24">
                  <c:v>4.8048780487804876</c:v>
                </c:pt>
                <c:pt idx="25">
                  <c:v>4.8048780487804876</c:v>
                </c:pt>
                <c:pt idx="26">
                  <c:v>4.8048780487804876</c:v>
                </c:pt>
                <c:pt idx="27">
                  <c:v>4.8048780487804876</c:v>
                </c:pt>
                <c:pt idx="28">
                  <c:v>4.8048780487804876</c:v>
                </c:pt>
                <c:pt idx="29">
                  <c:v>4.8048780487804876</c:v>
                </c:pt>
                <c:pt idx="30">
                  <c:v>4.8048780487804876</c:v>
                </c:pt>
                <c:pt idx="31">
                  <c:v>4.8048780487804876</c:v>
                </c:pt>
                <c:pt idx="32">
                  <c:v>4.8048780487804876</c:v>
                </c:pt>
                <c:pt idx="33">
                  <c:v>4.8048780487804876</c:v>
                </c:pt>
                <c:pt idx="34">
                  <c:v>4.8048780487804876</c:v>
                </c:pt>
                <c:pt idx="35">
                  <c:v>4.8048780487804876</c:v>
                </c:pt>
                <c:pt idx="36">
                  <c:v>4.8048780487804876</c:v>
                </c:pt>
                <c:pt idx="37">
                  <c:v>4.8048780487804876</c:v>
                </c:pt>
                <c:pt idx="38">
                  <c:v>4.8048780487804876</c:v>
                </c:pt>
                <c:pt idx="39">
                  <c:v>4.8048780487804876</c:v>
                </c:pt>
                <c:pt idx="40">
                  <c:v>4.8048780487804876</c:v>
                </c:pt>
                <c:pt idx="41">
                  <c:v>4.8048780487804876</c:v>
                </c:pt>
                <c:pt idx="43">
                  <c:v>2.3157894736842106</c:v>
                </c:pt>
                <c:pt idx="44">
                  <c:v>2.3157894736842106</c:v>
                </c:pt>
                <c:pt idx="45">
                  <c:v>2.3157894736842106</c:v>
                </c:pt>
                <c:pt idx="46">
                  <c:v>2.3157894736842106</c:v>
                </c:pt>
                <c:pt idx="47">
                  <c:v>2.3157894736842106</c:v>
                </c:pt>
                <c:pt idx="48">
                  <c:v>2.3157894736842106</c:v>
                </c:pt>
                <c:pt idx="49">
                  <c:v>2.3157894736842106</c:v>
                </c:pt>
                <c:pt idx="50">
                  <c:v>2.3157894736842106</c:v>
                </c:pt>
                <c:pt idx="51">
                  <c:v>2.3157894736842106</c:v>
                </c:pt>
                <c:pt idx="52">
                  <c:v>2.3157894736842106</c:v>
                </c:pt>
                <c:pt idx="53">
                  <c:v>2.3157894736842106</c:v>
                </c:pt>
                <c:pt idx="54">
                  <c:v>2.3157894736842106</c:v>
                </c:pt>
                <c:pt idx="55">
                  <c:v>2.3157894736842106</c:v>
                </c:pt>
                <c:pt idx="56">
                  <c:v>2.3157894736842106</c:v>
                </c:pt>
                <c:pt idx="57">
                  <c:v>2.3157894736842106</c:v>
                </c:pt>
                <c:pt idx="58">
                  <c:v>2.3157894736842106</c:v>
                </c:pt>
                <c:pt idx="59">
                  <c:v>2.3157894736842106</c:v>
                </c:pt>
                <c:pt idx="60">
                  <c:v>2.3157894736842106</c:v>
                </c:pt>
                <c:pt idx="61">
                  <c:v>2.3157894736842106</c:v>
                </c:pt>
                <c:pt idx="62">
                  <c:v>2.3157894736842106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(days)'!$P$1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(days)'!$P$2:$P$64</c:f>
              <c:numCache>
                <c:formatCode>0.0</c:formatCode>
                <c:ptCount val="63"/>
                <c:pt idx="1">
                  <c:v>1.1739918699186993</c:v>
                </c:pt>
                <c:pt idx="2">
                  <c:v>1.1739918699186993</c:v>
                </c:pt>
                <c:pt idx="3">
                  <c:v>1.1739918699186993</c:v>
                </c:pt>
                <c:pt idx="4">
                  <c:v>1.1739918699186993</c:v>
                </c:pt>
                <c:pt idx="5">
                  <c:v>1.1739918699186993</c:v>
                </c:pt>
                <c:pt idx="6">
                  <c:v>1.1739918699186993</c:v>
                </c:pt>
                <c:pt idx="7">
                  <c:v>1.1739918699186993</c:v>
                </c:pt>
                <c:pt idx="8">
                  <c:v>1.1739918699186993</c:v>
                </c:pt>
                <c:pt idx="9">
                  <c:v>1.1739918699186993</c:v>
                </c:pt>
                <c:pt idx="10">
                  <c:v>1.1739918699186993</c:v>
                </c:pt>
                <c:pt idx="11">
                  <c:v>1.1739918699186993</c:v>
                </c:pt>
                <c:pt idx="12">
                  <c:v>1.1739918699186993</c:v>
                </c:pt>
                <c:pt idx="13">
                  <c:v>1.1739918699186993</c:v>
                </c:pt>
                <c:pt idx="14">
                  <c:v>1.1739918699186993</c:v>
                </c:pt>
                <c:pt idx="15">
                  <c:v>1.1739918699186993</c:v>
                </c:pt>
                <c:pt idx="16">
                  <c:v>1.1739918699186993</c:v>
                </c:pt>
                <c:pt idx="17">
                  <c:v>1.1739918699186993</c:v>
                </c:pt>
                <c:pt idx="18">
                  <c:v>1.1739918699186993</c:v>
                </c:pt>
                <c:pt idx="19">
                  <c:v>1.1739918699186993</c:v>
                </c:pt>
                <c:pt idx="20">
                  <c:v>1.1739918699186993</c:v>
                </c:pt>
                <c:pt idx="21">
                  <c:v>1.1739918699186993</c:v>
                </c:pt>
                <c:pt idx="22">
                  <c:v>1.1739918699186993</c:v>
                </c:pt>
                <c:pt idx="23">
                  <c:v>1.1739918699186993</c:v>
                </c:pt>
                <c:pt idx="24">
                  <c:v>1.1739918699186993</c:v>
                </c:pt>
                <c:pt idx="25">
                  <c:v>1.1739918699186993</c:v>
                </c:pt>
                <c:pt idx="26">
                  <c:v>1.1739918699186993</c:v>
                </c:pt>
                <c:pt idx="27">
                  <c:v>1.1739918699186993</c:v>
                </c:pt>
                <c:pt idx="28">
                  <c:v>1.1739918699186993</c:v>
                </c:pt>
                <c:pt idx="29">
                  <c:v>1.1739918699186993</c:v>
                </c:pt>
                <c:pt idx="30">
                  <c:v>1.1739918699186993</c:v>
                </c:pt>
                <c:pt idx="31">
                  <c:v>1.1739918699186993</c:v>
                </c:pt>
                <c:pt idx="32">
                  <c:v>1.1739918699186993</c:v>
                </c:pt>
                <c:pt idx="33">
                  <c:v>1.1739918699186993</c:v>
                </c:pt>
                <c:pt idx="34">
                  <c:v>1.1739918699186993</c:v>
                </c:pt>
                <c:pt idx="35">
                  <c:v>1.1739918699186993</c:v>
                </c:pt>
                <c:pt idx="36">
                  <c:v>1.1739918699186993</c:v>
                </c:pt>
                <c:pt idx="37">
                  <c:v>1.1739918699186993</c:v>
                </c:pt>
                <c:pt idx="38">
                  <c:v>1.1739918699186993</c:v>
                </c:pt>
                <c:pt idx="39">
                  <c:v>1.1739918699186993</c:v>
                </c:pt>
                <c:pt idx="40">
                  <c:v>1.1739918699186993</c:v>
                </c:pt>
                <c:pt idx="41">
                  <c:v>1.1739918699186993</c:v>
                </c:pt>
                <c:pt idx="43">
                  <c:v>0.56582456140350912</c:v>
                </c:pt>
                <c:pt idx="44">
                  <c:v>0.56582456140350912</c:v>
                </c:pt>
                <c:pt idx="45">
                  <c:v>0.56582456140350912</c:v>
                </c:pt>
                <c:pt idx="46">
                  <c:v>0.56582456140350912</c:v>
                </c:pt>
                <c:pt idx="47">
                  <c:v>0.56582456140350912</c:v>
                </c:pt>
                <c:pt idx="48">
                  <c:v>0.56582456140350912</c:v>
                </c:pt>
                <c:pt idx="49">
                  <c:v>0.56582456140350912</c:v>
                </c:pt>
                <c:pt idx="50">
                  <c:v>0.56582456140350912</c:v>
                </c:pt>
                <c:pt idx="51">
                  <c:v>0.56582456140350912</c:v>
                </c:pt>
                <c:pt idx="52">
                  <c:v>0.56582456140350912</c:v>
                </c:pt>
                <c:pt idx="53">
                  <c:v>0.56582456140350912</c:v>
                </c:pt>
                <c:pt idx="54">
                  <c:v>0.56582456140350912</c:v>
                </c:pt>
                <c:pt idx="55">
                  <c:v>0.56582456140350912</c:v>
                </c:pt>
                <c:pt idx="56">
                  <c:v>0.56582456140350912</c:v>
                </c:pt>
                <c:pt idx="57">
                  <c:v>0.56582456140350912</c:v>
                </c:pt>
                <c:pt idx="58">
                  <c:v>0.56582456140350912</c:v>
                </c:pt>
                <c:pt idx="59">
                  <c:v>0.56582456140350912</c:v>
                </c:pt>
                <c:pt idx="60">
                  <c:v>0.56582456140350912</c:v>
                </c:pt>
                <c:pt idx="61">
                  <c:v>0.56582456140350912</c:v>
                </c:pt>
                <c:pt idx="62">
                  <c:v>0.56582456140350912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(days)'!$Q$1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(days)'!$Q$2:$Q$64</c:f>
              <c:numCache>
                <c:formatCode>0.0</c:formatCode>
                <c:ptCount val="63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(days)'!$R$1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(days)'!$R$2:$R$64</c:f>
              <c:numCache>
                <c:formatCode>0.0</c:formatCode>
                <c:ptCount val="63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63616"/>
        <c:axId val="192465536"/>
      </c:lineChart>
      <c:catAx>
        <c:axId val="19246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192465536"/>
        <c:crosses val="autoZero"/>
        <c:auto val="0"/>
        <c:lblAlgn val="ctr"/>
        <c:lblOffset val="100"/>
        <c:noMultiLvlLbl val="0"/>
      </c:catAx>
      <c:valAx>
        <c:axId val="19246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9246361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Packed Red Blood Cells (PRBC) Administered to Distal Patients at UNC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1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1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4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5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6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3"/>
            <c:marker>
              <c:spPr>
                <a:solidFill>
                  <a:srgbClr val="FF3399"/>
                </a:solidFill>
              </c:spPr>
            </c:marker>
            <c:bubble3D val="0"/>
          </c:dPt>
          <c:xVal>
            <c:numRef>
              <c:f>'PRBC-Distals'!$A$2:$A$35</c:f>
              <c:numCache>
                <c:formatCode>m/d/yyyy</c:formatCode>
                <c:ptCount val="34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7">
                  <c:v>41830</c:v>
                </c:pt>
                <c:pt idx="18">
                  <c:v>41844</c:v>
                </c:pt>
                <c:pt idx="19">
                  <c:v>41844</c:v>
                </c:pt>
                <c:pt idx="20">
                  <c:v>41851</c:v>
                </c:pt>
                <c:pt idx="21">
                  <c:v>41907</c:v>
                </c:pt>
                <c:pt idx="22">
                  <c:v>41935</c:v>
                </c:pt>
                <c:pt idx="23">
                  <c:v>41935</c:v>
                </c:pt>
                <c:pt idx="24">
                  <c:v>41943</c:v>
                </c:pt>
                <c:pt idx="25">
                  <c:v>41949</c:v>
                </c:pt>
                <c:pt idx="26">
                  <c:v>41963</c:v>
                </c:pt>
                <c:pt idx="27">
                  <c:v>41984</c:v>
                </c:pt>
                <c:pt idx="28">
                  <c:v>42019</c:v>
                </c:pt>
                <c:pt idx="29">
                  <c:v>42041</c:v>
                </c:pt>
                <c:pt idx="30">
                  <c:v>42061</c:v>
                </c:pt>
                <c:pt idx="31">
                  <c:v>42068</c:v>
                </c:pt>
                <c:pt idx="32">
                  <c:v>42082</c:v>
                </c:pt>
                <c:pt idx="33">
                  <c:v>42110</c:v>
                </c:pt>
              </c:numCache>
            </c:numRef>
          </c:xVal>
          <c:yVal>
            <c:numRef>
              <c:f>'PRBC-Distals'!$B$2:$B$35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483136"/>
        <c:axId val="69489408"/>
      </c:scatterChart>
      <c:valAx>
        <c:axId val="694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</a:t>
                </a:r>
                <a:r>
                  <a:rPr lang="en-US" baseline="0"/>
                  <a:t> sugery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6136731736507924"/>
              <c:y val="0.93961984626595974"/>
            </c:manualLayout>
          </c:layout>
          <c:overlay val="0"/>
        </c:title>
        <c:numFmt formatCode="m/d/yyyy" sourceLinked="1"/>
        <c:majorTickMark val="none"/>
        <c:minorTickMark val="none"/>
        <c:tickLblPos val="nextTo"/>
        <c:crossAx val="69489408"/>
        <c:crosses val="autoZero"/>
        <c:crossBetween val="midCat"/>
      </c:valAx>
      <c:valAx>
        <c:axId val="694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PRBC Administered (Units)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9483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300" b="0"/>
              <a:t>Average Fluids</a:t>
            </a:r>
            <a:r>
              <a:rPr lang="en-US" sz="1300" b="0" baseline="0"/>
              <a:t> Administered to Whipple Patients: ERAS and Controls</a:t>
            </a:r>
            <a:endParaRPr lang="en-US" sz="1300" b="0"/>
          </a:p>
        </c:rich>
      </c:tx>
      <c:layout>
        <c:manualLayout>
          <c:xMode val="edge"/>
          <c:yMode val="edge"/>
          <c:x val="0.16197403336427652"/>
          <c:y val="7.3229614014121537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99454288112138"/>
          <c:y val="0.17308906513326003"/>
          <c:w val="0.82613079033330961"/>
          <c:h val="0.587059023134852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'Fluids - Whipples'!$J$4</c:f>
              <c:strCache>
                <c:ptCount val="1"/>
                <c:pt idx="0">
                  <c:v>ERAS</c:v>
                </c:pt>
              </c:strCache>
            </c:strRef>
          </c:tx>
          <c:spPr>
            <a:solidFill>
              <a:srgbClr val="FF3399"/>
            </a:solidFill>
          </c:spPr>
          <c:invertIfNegative val="0"/>
          <c:dLbls>
            <c:numFmt formatCode="#,##0" sourceLinked="0"/>
            <c:spPr>
              <a:solidFill>
                <a:schemeClr val="bg1"/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'Fluids - Whipples'!$K$2:$L$3</c:f>
              <c:strCache>
                <c:ptCount val="2"/>
                <c:pt idx="0">
                  <c:v>Crystalloids</c:v>
                </c:pt>
                <c:pt idx="1">
                  <c:v>Albumin</c:v>
                </c:pt>
              </c:strCache>
            </c:strRef>
          </c:cat>
          <c:val>
            <c:numRef>
              <c:f>'Fluids - Whipples'!$K$4:$L$4</c:f>
              <c:numCache>
                <c:formatCode>0</c:formatCode>
                <c:ptCount val="2"/>
                <c:pt idx="0">
                  <c:v>4398.05</c:v>
                </c:pt>
                <c:pt idx="1">
                  <c:v>1100</c:v>
                </c:pt>
              </c:numCache>
            </c:numRef>
          </c:val>
        </c:ser>
        <c:ser>
          <c:idx val="1"/>
          <c:order val="1"/>
          <c:tx>
            <c:strRef>
              <c:f>'Fluids - Whipples'!$J$5</c:f>
              <c:strCache>
                <c:ptCount val="1"/>
                <c:pt idx="0">
                  <c:v>Controls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numFmt formatCode="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'Fluids - Whipples'!$K$2:$L$3</c:f>
              <c:strCache>
                <c:ptCount val="2"/>
                <c:pt idx="0">
                  <c:v>Crystalloids</c:v>
                </c:pt>
                <c:pt idx="1">
                  <c:v>Albumin</c:v>
                </c:pt>
              </c:strCache>
            </c:strRef>
          </c:cat>
          <c:val>
            <c:numRef>
              <c:f>'Fluids - Whipples'!$K$5:$L$5</c:f>
              <c:numCache>
                <c:formatCode>0</c:formatCode>
                <c:ptCount val="2"/>
                <c:pt idx="0">
                  <c:v>4462.8205128205127</c:v>
                </c:pt>
                <c:pt idx="1">
                  <c:v>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927872"/>
        <c:axId val="68929408"/>
      </c:barChart>
      <c:catAx>
        <c:axId val="68927872"/>
        <c:scaling>
          <c:orientation val="minMax"/>
        </c:scaling>
        <c:delete val="0"/>
        <c:axPos val="b"/>
        <c:majorTickMark val="none"/>
        <c:minorTickMark val="none"/>
        <c:tickLblPos val="nextTo"/>
        <c:crossAx val="68929408"/>
        <c:crosses val="autoZero"/>
        <c:auto val="1"/>
        <c:lblAlgn val="ctr"/>
        <c:lblOffset val="100"/>
        <c:noMultiLvlLbl val="0"/>
      </c:catAx>
      <c:valAx>
        <c:axId val="6892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>
                    <a:latin typeface="+mn-lt"/>
                  </a:defRPr>
                </a:pPr>
                <a:r>
                  <a:rPr lang="en-US" sz="1200" b="0">
                    <a:latin typeface="+mn-lt"/>
                  </a:rPr>
                  <a:t>Average Volume (mL)</a:t>
                </a:r>
              </a:p>
            </c:rich>
          </c:tx>
          <c:layout>
            <c:manualLayout>
              <c:xMode val="edge"/>
              <c:yMode val="edge"/>
              <c:x val="2.181619589086126E-2"/>
              <c:y val="0.22844443923276411"/>
            </c:manualLayout>
          </c:layout>
          <c:overlay val="0"/>
        </c:title>
        <c:numFmt formatCode="0" sourceLinked="1"/>
        <c:majorTickMark val="none"/>
        <c:minorTickMark val="none"/>
        <c:tickLblPos val="nextTo"/>
        <c:crossAx val="689278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Crystalloids administered to Whipple</a:t>
            </a:r>
            <a:r>
              <a:rPr lang="en-US" baseline="0"/>
              <a:t> Patients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'Fluids - Whipples'!$B$1</c:f>
              <c:strCache>
                <c:ptCount val="1"/>
                <c:pt idx="0">
                  <c:v>Crystalloids</c:v>
                </c:pt>
              </c:strCache>
            </c:strRef>
          </c:tx>
          <c:spPr>
            <a:ln w="28575">
              <a:noFill/>
            </a:ln>
          </c:spPr>
          <c:dPt>
            <c:idx val="3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3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4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5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6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3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4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5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6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60"/>
            <c:marker>
              <c:spPr>
                <a:solidFill>
                  <a:srgbClr val="FF3399"/>
                </a:solidFill>
              </c:spPr>
            </c:marker>
            <c:bubble3D val="0"/>
          </c:dPt>
          <c:xVal>
            <c:numRef>
              <c:f>'Fluids - Whipples'!$A$2:$A$62</c:f>
              <c:numCache>
                <c:formatCode>m/d/yyyy</c:formatCode>
                <c:ptCount val="61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2">
                  <c:v>41830</c:v>
                </c:pt>
                <c:pt idx="43">
                  <c:v>41858</c:v>
                </c:pt>
                <c:pt idx="44">
                  <c:v>41873</c:v>
                </c:pt>
                <c:pt idx="45">
                  <c:v>41880</c:v>
                </c:pt>
                <c:pt idx="46">
                  <c:v>41886</c:v>
                </c:pt>
                <c:pt idx="47">
                  <c:v>41887</c:v>
                </c:pt>
                <c:pt idx="48">
                  <c:v>41893</c:v>
                </c:pt>
                <c:pt idx="49">
                  <c:v>41914</c:v>
                </c:pt>
                <c:pt idx="50">
                  <c:v>41921</c:v>
                </c:pt>
                <c:pt idx="51">
                  <c:v>41922</c:v>
                </c:pt>
                <c:pt idx="52">
                  <c:v>41928</c:v>
                </c:pt>
                <c:pt idx="53">
                  <c:v>41977</c:v>
                </c:pt>
                <c:pt idx="54">
                  <c:v>42006</c:v>
                </c:pt>
                <c:pt idx="55">
                  <c:v>42027</c:v>
                </c:pt>
                <c:pt idx="56">
                  <c:v>42033</c:v>
                </c:pt>
                <c:pt idx="57">
                  <c:v>42034</c:v>
                </c:pt>
                <c:pt idx="58">
                  <c:v>42040</c:v>
                </c:pt>
                <c:pt idx="59">
                  <c:v>42075</c:v>
                </c:pt>
                <c:pt idx="60">
                  <c:v>42111</c:v>
                </c:pt>
              </c:numCache>
            </c:numRef>
          </c:xVal>
          <c:yVal>
            <c:numRef>
              <c:f>'Fluids - Whipples'!$B$2:$B$62</c:f>
              <c:numCache>
                <c:formatCode>General</c:formatCode>
                <c:ptCount val="61"/>
                <c:pt idx="0">
                  <c:v>2950</c:v>
                </c:pt>
                <c:pt idx="1">
                  <c:v>5400</c:v>
                </c:pt>
                <c:pt idx="2">
                  <c:v>3500</c:v>
                </c:pt>
                <c:pt idx="3">
                  <c:v>4450</c:v>
                </c:pt>
                <c:pt idx="4">
                  <c:v>6400</c:v>
                </c:pt>
                <c:pt idx="5">
                  <c:v>2500</c:v>
                </c:pt>
                <c:pt idx="6">
                  <c:v>3000</c:v>
                </c:pt>
                <c:pt idx="7">
                  <c:v>6950</c:v>
                </c:pt>
                <c:pt idx="8">
                  <c:v>5500</c:v>
                </c:pt>
                <c:pt idx="9">
                  <c:v>1800</c:v>
                </c:pt>
                <c:pt idx="10">
                  <c:v>4400</c:v>
                </c:pt>
                <c:pt idx="11">
                  <c:v>4100</c:v>
                </c:pt>
                <c:pt idx="12">
                  <c:v>2600</c:v>
                </c:pt>
                <c:pt idx="13">
                  <c:v>4500</c:v>
                </c:pt>
                <c:pt idx="14">
                  <c:v>4400</c:v>
                </c:pt>
                <c:pt idx="15">
                  <c:v>2800</c:v>
                </c:pt>
                <c:pt idx="16">
                  <c:v>0</c:v>
                </c:pt>
                <c:pt idx="17">
                  <c:v>5000</c:v>
                </c:pt>
                <c:pt idx="18">
                  <c:v>3000</c:v>
                </c:pt>
                <c:pt idx="19">
                  <c:v>5300</c:v>
                </c:pt>
                <c:pt idx="20">
                  <c:v>0</c:v>
                </c:pt>
                <c:pt idx="21">
                  <c:v>4400</c:v>
                </c:pt>
                <c:pt idx="22">
                  <c:v>6500</c:v>
                </c:pt>
                <c:pt idx="23">
                  <c:v>5700</c:v>
                </c:pt>
                <c:pt idx="24">
                  <c:v>5200</c:v>
                </c:pt>
                <c:pt idx="25">
                  <c:v>3200</c:v>
                </c:pt>
                <c:pt idx="26">
                  <c:v>6600</c:v>
                </c:pt>
                <c:pt idx="27">
                  <c:v>8000</c:v>
                </c:pt>
                <c:pt idx="28">
                  <c:v>1950</c:v>
                </c:pt>
                <c:pt idx="29">
                  <c:v>2300</c:v>
                </c:pt>
                <c:pt idx="30">
                  <c:v>6000</c:v>
                </c:pt>
                <c:pt idx="31">
                  <c:v>0</c:v>
                </c:pt>
                <c:pt idx="32">
                  <c:v>3700</c:v>
                </c:pt>
                <c:pt idx="33">
                  <c:v>4400</c:v>
                </c:pt>
                <c:pt idx="34">
                  <c:v>5000</c:v>
                </c:pt>
                <c:pt idx="35">
                  <c:v>6300</c:v>
                </c:pt>
                <c:pt idx="36">
                  <c:v>2400</c:v>
                </c:pt>
                <c:pt idx="37">
                  <c:v>6600</c:v>
                </c:pt>
                <c:pt idx="38">
                  <c:v>4600</c:v>
                </c:pt>
                <c:pt idx="39">
                  <c:v>4650</c:v>
                </c:pt>
                <c:pt idx="40">
                  <c:v>4300</c:v>
                </c:pt>
                <c:pt idx="41">
                  <c:v>3700</c:v>
                </c:pt>
                <c:pt idx="42">
                  <c:v>3641</c:v>
                </c:pt>
                <c:pt idx="43">
                  <c:v>4179</c:v>
                </c:pt>
                <c:pt idx="44">
                  <c:v>6195</c:v>
                </c:pt>
                <c:pt idx="45">
                  <c:v>5735</c:v>
                </c:pt>
                <c:pt idx="46">
                  <c:v>4302</c:v>
                </c:pt>
                <c:pt idx="47">
                  <c:v>3922</c:v>
                </c:pt>
                <c:pt idx="48">
                  <c:v>4100</c:v>
                </c:pt>
                <c:pt idx="49">
                  <c:v>5940</c:v>
                </c:pt>
                <c:pt idx="50">
                  <c:v>2110</c:v>
                </c:pt>
                <c:pt idx="51">
                  <c:v>3100</c:v>
                </c:pt>
                <c:pt idx="52">
                  <c:v>3469</c:v>
                </c:pt>
                <c:pt idx="53">
                  <c:v>4800</c:v>
                </c:pt>
                <c:pt idx="54">
                  <c:v>6140</c:v>
                </c:pt>
                <c:pt idx="55">
                  <c:v>4700</c:v>
                </c:pt>
                <c:pt idx="56">
                  <c:v>3725</c:v>
                </c:pt>
                <c:pt idx="57">
                  <c:v>3360</c:v>
                </c:pt>
                <c:pt idx="58">
                  <c:v>2416</c:v>
                </c:pt>
                <c:pt idx="59">
                  <c:v>5050</c:v>
                </c:pt>
                <c:pt idx="60">
                  <c:v>6574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79136"/>
        <c:axId val="69581056"/>
      </c:scatterChart>
      <c:valAx>
        <c:axId val="6957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  <a:r>
                  <a:rPr lang="en-US" baseline="0"/>
                  <a:t> of Surgery</a:t>
                </a:r>
                <a:endParaRPr lang="en-US"/>
              </a:p>
            </c:rich>
          </c:tx>
          <c:layout/>
          <c:overlay val="0"/>
        </c:title>
        <c:numFmt formatCode="m/d/yyyy" sourceLinked="1"/>
        <c:majorTickMark val="none"/>
        <c:minorTickMark val="none"/>
        <c:tickLblPos val="nextTo"/>
        <c:crossAx val="69581056"/>
        <c:crosses val="autoZero"/>
        <c:crossBetween val="midCat"/>
      </c:valAx>
      <c:valAx>
        <c:axId val="69581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Crystalloids Administered</a:t>
                </a:r>
                <a:r>
                  <a:rPr lang="en-US" baseline="0"/>
                  <a:t> (mL)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9579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Albumin administered to Whipple Patients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3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3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4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5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6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3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4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5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6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60"/>
            <c:marker>
              <c:spPr>
                <a:solidFill>
                  <a:srgbClr val="FF3399"/>
                </a:solidFill>
              </c:spPr>
            </c:marker>
            <c:bubble3D val="0"/>
          </c:dPt>
          <c:xVal>
            <c:numRef>
              <c:f>'Fluids - Whipples'!$A$2:$A$62</c:f>
              <c:numCache>
                <c:formatCode>m/d/yyyy</c:formatCode>
                <c:ptCount val="61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2">
                  <c:v>41830</c:v>
                </c:pt>
                <c:pt idx="43">
                  <c:v>41858</c:v>
                </c:pt>
                <c:pt idx="44">
                  <c:v>41873</c:v>
                </c:pt>
                <c:pt idx="45">
                  <c:v>41880</c:v>
                </c:pt>
                <c:pt idx="46">
                  <c:v>41886</c:v>
                </c:pt>
                <c:pt idx="47">
                  <c:v>41887</c:v>
                </c:pt>
                <c:pt idx="48">
                  <c:v>41893</c:v>
                </c:pt>
                <c:pt idx="49">
                  <c:v>41914</c:v>
                </c:pt>
                <c:pt idx="50">
                  <c:v>41921</c:v>
                </c:pt>
                <c:pt idx="51">
                  <c:v>41922</c:v>
                </c:pt>
                <c:pt idx="52">
                  <c:v>41928</c:v>
                </c:pt>
                <c:pt idx="53">
                  <c:v>41977</c:v>
                </c:pt>
                <c:pt idx="54">
                  <c:v>42006</c:v>
                </c:pt>
                <c:pt idx="55">
                  <c:v>42027</c:v>
                </c:pt>
                <c:pt idx="56">
                  <c:v>42033</c:v>
                </c:pt>
                <c:pt idx="57">
                  <c:v>42034</c:v>
                </c:pt>
                <c:pt idx="58">
                  <c:v>42040</c:v>
                </c:pt>
                <c:pt idx="59">
                  <c:v>42075</c:v>
                </c:pt>
                <c:pt idx="60">
                  <c:v>42111</c:v>
                </c:pt>
              </c:numCache>
            </c:numRef>
          </c:xVal>
          <c:yVal>
            <c:numRef>
              <c:f>'Fluids - Whipples'!$C$2:$C$62</c:f>
              <c:numCache>
                <c:formatCode>General</c:formatCode>
                <c:ptCount val="61"/>
                <c:pt idx="0">
                  <c:v>500</c:v>
                </c:pt>
                <c:pt idx="1">
                  <c:v>750</c:v>
                </c:pt>
                <c:pt idx="2">
                  <c:v>0</c:v>
                </c:pt>
                <c:pt idx="3">
                  <c:v>500</c:v>
                </c:pt>
                <c:pt idx="4">
                  <c:v>750</c:v>
                </c:pt>
                <c:pt idx="5">
                  <c:v>750</c:v>
                </c:pt>
                <c:pt idx="6">
                  <c:v>500</c:v>
                </c:pt>
                <c:pt idx="7">
                  <c:v>2000</c:v>
                </c:pt>
                <c:pt idx="8">
                  <c:v>750</c:v>
                </c:pt>
                <c:pt idx="9">
                  <c:v>0</c:v>
                </c:pt>
                <c:pt idx="10">
                  <c:v>500</c:v>
                </c:pt>
                <c:pt idx="11">
                  <c:v>1500</c:v>
                </c:pt>
                <c:pt idx="12">
                  <c:v>1500</c:v>
                </c:pt>
                <c:pt idx="13">
                  <c:v>250</c:v>
                </c:pt>
                <c:pt idx="14">
                  <c:v>1000</c:v>
                </c:pt>
                <c:pt idx="15">
                  <c:v>500</c:v>
                </c:pt>
                <c:pt idx="16">
                  <c:v>0</c:v>
                </c:pt>
                <c:pt idx="17">
                  <c:v>750</c:v>
                </c:pt>
                <c:pt idx="18">
                  <c:v>500</c:v>
                </c:pt>
                <c:pt idx="19">
                  <c:v>1000</c:v>
                </c:pt>
                <c:pt idx="20">
                  <c:v>0</c:v>
                </c:pt>
                <c:pt idx="21">
                  <c:v>750</c:v>
                </c:pt>
                <c:pt idx="22">
                  <c:v>1250</c:v>
                </c:pt>
                <c:pt idx="23">
                  <c:v>2750</c:v>
                </c:pt>
                <c:pt idx="24">
                  <c:v>750</c:v>
                </c:pt>
                <c:pt idx="25">
                  <c:v>1250</c:v>
                </c:pt>
                <c:pt idx="26">
                  <c:v>1250</c:v>
                </c:pt>
                <c:pt idx="27">
                  <c:v>1500</c:v>
                </c:pt>
                <c:pt idx="28">
                  <c:v>500</c:v>
                </c:pt>
                <c:pt idx="29">
                  <c:v>500</c:v>
                </c:pt>
                <c:pt idx="30">
                  <c:v>1250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1000</c:v>
                </c:pt>
                <c:pt idx="38">
                  <c:v>750</c:v>
                </c:pt>
                <c:pt idx="39">
                  <c:v>750</c:v>
                </c:pt>
                <c:pt idx="40">
                  <c:v>500</c:v>
                </c:pt>
                <c:pt idx="41">
                  <c:v>500</c:v>
                </c:pt>
                <c:pt idx="42">
                  <c:v>1000</c:v>
                </c:pt>
                <c:pt idx="43">
                  <c:v>1250</c:v>
                </c:pt>
                <c:pt idx="44">
                  <c:v>750</c:v>
                </c:pt>
                <c:pt idx="45">
                  <c:v>500</c:v>
                </c:pt>
                <c:pt idx="46">
                  <c:v>1500</c:v>
                </c:pt>
                <c:pt idx="47">
                  <c:v>1250</c:v>
                </c:pt>
                <c:pt idx="48">
                  <c:v>750</c:v>
                </c:pt>
                <c:pt idx="49">
                  <c:v>1750</c:v>
                </c:pt>
                <c:pt idx="50">
                  <c:v>500</c:v>
                </c:pt>
                <c:pt idx="51">
                  <c:v>500</c:v>
                </c:pt>
                <c:pt idx="52">
                  <c:v>750</c:v>
                </c:pt>
                <c:pt idx="53">
                  <c:v>1000</c:v>
                </c:pt>
                <c:pt idx="54">
                  <c:v>1000</c:v>
                </c:pt>
                <c:pt idx="55">
                  <c:v>500</c:v>
                </c:pt>
                <c:pt idx="56">
                  <c:v>500</c:v>
                </c:pt>
                <c:pt idx="57">
                  <c:v>1000</c:v>
                </c:pt>
                <c:pt idx="58">
                  <c:v>2000</c:v>
                </c:pt>
                <c:pt idx="59">
                  <c:v>1500</c:v>
                </c:pt>
                <c:pt idx="60">
                  <c:v>1000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29440"/>
        <c:axId val="69631360"/>
      </c:scatterChart>
      <c:valAx>
        <c:axId val="6962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none"/>
        <c:minorTickMark val="none"/>
        <c:tickLblPos val="nextTo"/>
        <c:crossAx val="69631360"/>
        <c:crosses val="autoZero"/>
        <c:crossBetween val="midCat"/>
      </c:valAx>
      <c:valAx>
        <c:axId val="696313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Albumin Administered</a:t>
                </a:r>
                <a:r>
                  <a:rPr lang="en-US" baseline="0"/>
                  <a:t> (mL)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9629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1300" b="0"/>
              <a:t>Average Fluids Administered to Distal Patients: ERAS and Controls</a:t>
            </a:r>
          </a:p>
        </c:rich>
      </c:tx>
      <c:layout>
        <c:manualLayout>
          <c:xMode val="edge"/>
          <c:yMode val="edge"/>
          <c:x val="0.18003948148247176"/>
          <c:y val="3.240740740740740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'Fluids - Distals'!$J$15</c:f>
              <c:strCache>
                <c:ptCount val="1"/>
                <c:pt idx="0">
                  <c:v>ERAS</c:v>
                </c:pt>
              </c:strCache>
            </c:strRef>
          </c:tx>
          <c:spPr>
            <a:solidFill>
              <a:srgbClr val="FF3399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'Fluids - Distals'!$K$14:$L$14</c:f>
              <c:strCache>
                <c:ptCount val="2"/>
                <c:pt idx="0">
                  <c:v>Crystalloids</c:v>
                </c:pt>
                <c:pt idx="1">
                  <c:v>Albumin</c:v>
                </c:pt>
              </c:strCache>
            </c:strRef>
          </c:cat>
          <c:val>
            <c:numRef>
              <c:f>'Fluids - Distals'!$K$15:$L$15</c:f>
              <c:numCache>
                <c:formatCode>0</c:formatCode>
                <c:ptCount val="2"/>
                <c:pt idx="0">
                  <c:v>2691.3947368421054</c:v>
                </c:pt>
                <c:pt idx="1">
                  <c:v>638.88888888888891</c:v>
                </c:pt>
              </c:numCache>
            </c:numRef>
          </c:val>
        </c:ser>
        <c:ser>
          <c:idx val="1"/>
          <c:order val="1"/>
          <c:tx>
            <c:strRef>
              <c:f>'Fluids - Distals'!$J$16</c:f>
              <c:strCache>
                <c:ptCount val="1"/>
                <c:pt idx="0">
                  <c:v>Controls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'Fluids - Distals'!$K$14:$L$14</c:f>
              <c:strCache>
                <c:ptCount val="2"/>
                <c:pt idx="0">
                  <c:v>Crystalloids</c:v>
                </c:pt>
                <c:pt idx="1">
                  <c:v>Albumin</c:v>
                </c:pt>
              </c:strCache>
            </c:strRef>
          </c:cat>
          <c:val>
            <c:numRef>
              <c:f>'Fluids - Distals'!$K$16:$L$16</c:f>
              <c:numCache>
                <c:formatCode>0</c:formatCode>
                <c:ptCount val="2"/>
                <c:pt idx="0">
                  <c:v>2988.2352941176468</c:v>
                </c:pt>
                <c:pt idx="1">
                  <c:v>367.64705882352939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916160"/>
        <c:axId val="69917696"/>
      </c:barChart>
      <c:catAx>
        <c:axId val="69916160"/>
        <c:scaling>
          <c:orientation val="minMax"/>
        </c:scaling>
        <c:delete val="0"/>
        <c:axPos val="b"/>
        <c:majorTickMark val="none"/>
        <c:minorTickMark val="none"/>
        <c:tickLblPos val="nextTo"/>
        <c:crossAx val="69917696"/>
        <c:crosses val="autoZero"/>
        <c:auto val="1"/>
        <c:lblAlgn val="ctr"/>
        <c:lblOffset val="100"/>
        <c:noMultiLvlLbl val="0"/>
      </c:catAx>
      <c:valAx>
        <c:axId val="699176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Average Volume (mL)</a:t>
                </a:r>
              </a:p>
            </c:rich>
          </c:tx>
          <c:layout>
            <c:manualLayout>
              <c:xMode val="edge"/>
              <c:yMode val="edge"/>
              <c:x val="2.0761371770677425E-2"/>
              <c:y val="0.26335799928125714"/>
            </c:manualLayout>
          </c:layout>
          <c:overlay val="0"/>
        </c:title>
        <c:numFmt formatCode="0" sourceLinked="1"/>
        <c:majorTickMark val="none"/>
        <c:minorTickMark val="none"/>
        <c:tickLblPos val="nextTo"/>
        <c:crossAx val="6991616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Crystalloids Administered to Distals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'Fluids - Distals'!$B$1</c:f>
              <c:strCache>
                <c:ptCount val="1"/>
                <c:pt idx="0">
                  <c:v>Crystalloids</c:v>
                </c:pt>
              </c:strCache>
            </c:strRef>
          </c:tx>
          <c:spPr>
            <a:ln w="28575">
              <a:noFill/>
            </a:ln>
          </c:spPr>
          <c:dPt>
            <c:idx val="1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1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1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3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4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5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6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3"/>
            <c:marker>
              <c:spPr>
                <a:solidFill>
                  <a:srgbClr val="FF3399"/>
                </a:solidFill>
              </c:spPr>
            </c:marker>
            <c:bubble3D val="0"/>
          </c:dPt>
          <c:xVal>
            <c:numRef>
              <c:f>'Fluids - Distals'!$A$2:$A$35</c:f>
              <c:numCache>
                <c:formatCode>m/d/yyyy</c:formatCode>
                <c:ptCount val="34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7">
                  <c:v>41830</c:v>
                </c:pt>
                <c:pt idx="18">
                  <c:v>41844</c:v>
                </c:pt>
                <c:pt idx="19">
                  <c:v>41844</c:v>
                </c:pt>
                <c:pt idx="20">
                  <c:v>41851</c:v>
                </c:pt>
                <c:pt idx="21">
                  <c:v>41907</c:v>
                </c:pt>
                <c:pt idx="22">
                  <c:v>41935</c:v>
                </c:pt>
                <c:pt idx="23">
                  <c:v>41935</c:v>
                </c:pt>
                <c:pt idx="24">
                  <c:v>41943</c:v>
                </c:pt>
                <c:pt idx="25">
                  <c:v>41949</c:v>
                </c:pt>
                <c:pt idx="26">
                  <c:v>41963</c:v>
                </c:pt>
                <c:pt idx="27">
                  <c:v>41984</c:v>
                </c:pt>
                <c:pt idx="28">
                  <c:v>42019</c:v>
                </c:pt>
                <c:pt idx="29">
                  <c:v>42041</c:v>
                </c:pt>
                <c:pt idx="30">
                  <c:v>42061</c:v>
                </c:pt>
                <c:pt idx="31">
                  <c:v>42068</c:v>
                </c:pt>
                <c:pt idx="32">
                  <c:v>42082</c:v>
                </c:pt>
                <c:pt idx="33">
                  <c:v>42110</c:v>
                </c:pt>
              </c:numCache>
            </c:numRef>
          </c:xVal>
          <c:yVal>
            <c:numRef>
              <c:f>'Fluids - Distals'!$B$2:$B$35</c:f>
              <c:numCache>
                <c:formatCode>General</c:formatCode>
                <c:ptCount val="34"/>
                <c:pt idx="0">
                  <c:v>2200</c:v>
                </c:pt>
                <c:pt idx="1">
                  <c:v>2900</c:v>
                </c:pt>
                <c:pt idx="2">
                  <c:v>1800</c:v>
                </c:pt>
                <c:pt idx="3">
                  <c:v>3400</c:v>
                </c:pt>
                <c:pt idx="4">
                  <c:v>1900</c:v>
                </c:pt>
                <c:pt idx="5">
                  <c:v>5350</c:v>
                </c:pt>
                <c:pt idx="6">
                  <c:v>3500</c:v>
                </c:pt>
                <c:pt idx="7">
                  <c:v>1500</c:v>
                </c:pt>
                <c:pt idx="8">
                  <c:v>3000</c:v>
                </c:pt>
                <c:pt idx="9">
                  <c:v>2700</c:v>
                </c:pt>
                <c:pt idx="10">
                  <c:v>2000</c:v>
                </c:pt>
                <c:pt idx="11">
                  <c:v>1600</c:v>
                </c:pt>
                <c:pt idx="12">
                  <c:v>1600</c:v>
                </c:pt>
                <c:pt idx="13">
                  <c:v>4150</c:v>
                </c:pt>
                <c:pt idx="14">
                  <c:v>3900</c:v>
                </c:pt>
                <c:pt idx="15">
                  <c:v>5800</c:v>
                </c:pt>
                <c:pt idx="16">
                  <c:v>3500</c:v>
                </c:pt>
                <c:pt idx="17">
                  <c:v>2137.1999999999998</c:v>
                </c:pt>
                <c:pt idx="18">
                  <c:v>2421.6999999999998</c:v>
                </c:pt>
                <c:pt idx="19">
                  <c:v>1737</c:v>
                </c:pt>
                <c:pt idx="20">
                  <c:v>4300</c:v>
                </c:pt>
                <c:pt idx="21">
                  <c:v>2800</c:v>
                </c:pt>
                <c:pt idx="22">
                  <c:v>3050</c:v>
                </c:pt>
                <c:pt idx="23">
                  <c:v>1950</c:v>
                </c:pt>
                <c:pt idx="24">
                  <c:v>1888</c:v>
                </c:pt>
                <c:pt idx="25">
                  <c:v>1250</c:v>
                </c:pt>
                <c:pt idx="26">
                  <c:v>1659</c:v>
                </c:pt>
                <c:pt idx="27">
                  <c:v>2659.8</c:v>
                </c:pt>
                <c:pt idx="28">
                  <c:v>2850</c:v>
                </c:pt>
                <c:pt idx="29">
                  <c:v>1895.8</c:v>
                </c:pt>
                <c:pt idx="30">
                  <c:v>4000</c:v>
                </c:pt>
                <c:pt idx="31">
                  <c:v>3361</c:v>
                </c:pt>
                <c:pt idx="32">
                  <c:v>2700</c:v>
                </c:pt>
                <c:pt idx="33">
                  <c:v>4444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39872"/>
        <c:axId val="69842048"/>
      </c:scatterChart>
      <c:valAx>
        <c:axId val="6983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none"/>
        <c:minorTickMark val="none"/>
        <c:tickLblPos val="nextTo"/>
        <c:crossAx val="69842048"/>
        <c:crosses val="autoZero"/>
        <c:crossBetween val="midCat"/>
      </c:valAx>
      <c:valAx>
        <c:axId val="69842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Crystalloids</a:t>
                </a:r>
                <a:r>
                  <a:rPr lang="en-US" baseline="0"/>
                  <a:t> Administered (mL)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9839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Albumin</a:t>
            </a:r>
            <a:r>
              <a:rPr lang="en-US" baseline="0"/>
              <a:t> Administered to Distals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'Fluids - Distals'!$C$1</c:f>
              <c:strCache>
                <c:ptCount val="1"/>
                <c:pt idx="0">
                  <c:v>Albumin</c:v>
                </c:pt>
              </c:strCache>
            </c:strRef>
          </c:tx>
          <c:spPr>
            <a:ln w="28575">
              <a:noFill/>
            </a:ln>
          </c:spPr>
          <c:dPt>
            <c:idx val="1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1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1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3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4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5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6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2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33"/>
            <c:marker>
              <c:spPr>
                <a:solidFill>
                  <a:srgbClr val="FF3399"/>
                </a:solidFill>
              </c:spPr>
            </c:marker>
            <c:bubble3D val="0"/>
          </c:dPt>
          <c:xVal>
            <c:numRef>
              <c:f>'Fluids - Distals'!$A$2:$A$35</c:f>
              <c:numCache>
                <c:formatCode>m/d/yyyy</c:formatCode>
                <c:ptCount val="34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7">
                  <c:v>41830</c:v>
                </c:pt>
                <c:pt idx="18">
                  <c:v>41844</c:v>
                </c:pt>
                <c:pt idx="19">
                  <c:v>41844</c:v>
                </c:pt>
                <c:pt idx="20">
                  <c:v>41851</c:v>
                </c:pt>
                <c:pt idx="21">
                  <c:v>41907</c:v>
                </c:pt>
                <c:pt idx="22">
                  <c:v>41935</c:v>
                </c:pt>
                <c:pt idx="23">
                  <c:v>41935</c:v>
                </c:pt>
                <c:pt idx="24">
                  <c:v>41943</c:v>
                </c:pt>
                <c:pt idx="25">
                  <c:v>41949</c:v>
                </c:pt>
                <c:pt idx="26">
                  <c:v>41963</c:v>
                </c:pt>
                <c:pt idx="27">
                  <c:v>41984</c:v>
                </c:pt>
                <c:pt idx="28">
                  <c:v>42019</c:v>
                </c:pt>
                <c:pt idx="29">
                  <c:v>42041</c:v>
                </c:pt>
                <c:pt idx="30">
                  <c:v>42061</c:v>
                </c:pt>
                <c:pt idx="31">
                  <c:v>42068</c:v>
                </c:pt>
                <c:pt idx="32">
                  <c:v>42082</c:v>
                </c:pt>
                <c:pt idx="33">
                  <c:v>42110</c:v>
                </c:pt>
              </c:numCache>
            </c:numRef>
          </c:xVal>
          <c:yVal>
            <c:numRef>
              <c:f>'Fluids - Distals'!$C$2:$C$35</c:f>
              <c:numCache>
                <c:formatCode>General</c:formatCode>
                <c:ptCount val="34"/>
                <c:pt idx="0">
                  <c:v>0</c:v>
                </c:pt>
                <c:pt idx="1">
                  <c:v>1000</c:v>
                </c:pt>
                <c:pt idx="2">
                  <c:v>0</c:v>
                </c:pt>
                <c:pt idx="3">
                  <c:v>2250</c:v>
                </c:pt>
                <c:pt idx="4">
                  <c:v>0</c:v>
                </c:pt>
                <c:pt idx="5">
                  <c:v>500</c:v>
                </c:pt>
                <c:pt idx="6">
                  <c:v>1000</c:v>
                </c:pt>
                <c:pt idx="7">
                  <c:v>0</c:v>
                </c:pt>
                <c:pt idx="8">
                  <c:v>500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250</c:v>
                </c:pt>
                <c:pt idx="13">
                  <c:v>0</c:v>
                </c:pt>
                <c:pt idx="14">
                  <c:v>0</c:v>
                </c:pt>
                <c:pt idx="15">
                  <c:v>750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500</c:v>
                </c:pt>
                <c:pt idx="20">
                  <c:v>750</c:v>
                </c:pt>
                <c:pt idx="21">
                  <c:v>0</c:v>
                </c:pt>
                <c:pt idx="22">
                  <c:v>750</c:v>
                </c:pt>
                <c:pt idx="23">
                  <c:v>0</c:v>
                </c:pt>
                <c:pt idx="24">
                  <c:v>1750</c:v>
                </c:pt>
                <c:pt idx="25">
                  <c:v>0</c:v>
                </c:pt>
                <c:pt idx="26">
                  <c:v>750</c:v>
                </c:pt>
                <c:pt idx="27">
                  <c:v>500</c:v>
                </c:pt>
                <c:pt idx="28">
                  <c:v>500</c:v>
                </c:pt>
                <c:pt idx="29">
                  <c:v>750</c:v>
                </c:pt>
                <c:pt idx="30">
                  <c:v>1000</c:v>
                </c:pt>
                <c:pt idx="31">
                  <c:v>1000</c:v>
                </c:pt>
                <c:pt idx="32">
                  <c:v>1250</c:v>
                </c:pt>
                <c:pt idx="33">
                  <c:v>1000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12928"/>
        <c:axId val="70014848"/>
      </c:scatterChart>
      <c:valAx>
        <c:axId val="7001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none"/>
        <c:minorTickMark val="none"/>
        <c:tickLblPos val="nextTo"/>
        <c:crossAx val="70014848"/>
        <c:crosses val="autoZero"/>
        <c:crossBetween val="midCat"/>
      </c:valAx>
      <c:valAx>
        <c:axId val="700148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Albumin Adminsitered (mL)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0012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 i="0" baseline="0">
                <a:effectLst/>
              </a:rPr>
              <a:t>1st Reported Pain: Whipple pancreatic surgery patients enrolled in ERAS at UNC</a:t>
            </a:r>
            <a:endParaRPr lang="en-US" sz="1050">
              <a:effectLst/>
            </a:endParaRPr>
          </a:p>
          <a:p>
            <a:pPr>
              <a:defRPr/>
            </a:pPr>
            <a:r>
              <a:rPr lang="en-US" sz="1050" b="0" i="0" baseline="0">
                <a:effectLst/>
              </a:rPr>
              <a:t>the patient's first verbal pain score after waking up from surgery</a:t>
            </a:r>
            <a:endParaRPr lang="en-US" sz="1050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FF3399"/>
              </a:solidFill>
            </c:spPr>
          </c:marker>
          <c:xVal>
            <c:numRef>
              <c:f>'Whipples 1st Pain'!$A$2:$A$20</c:f>
              <c:numCache>
                <c:formatCode>m/d/yyyy</c:formatCode>
                <c:ptCount val="19"/>
                <c:pt idx="0">
                  <c:v>41830</c:v>
                </c:pt>
                <c:pt idx="1">
                  <c:v>41858</c:v>
                </c:pt>
                <c:pt idx="2">
                  <c:v>41873</c:v>
                </c:pt>
                <c:pt idx="3">
                  <c:v>41880</c:v>
                </c:pt>
                <c:pt idx="4">
                  <c:v>41886</c:v>
                </c:pt>
                <c:pt idx="5">
                  <c:v>41887</c:v>
                </c:pt>
                <c:pt idx="6">
                  <c:v>41893</c:v>
                </c:pt>
                <c:pt idx="7">
                  <c:v>41914</c:v>
                </c:pt>
                <c:pt idx="8">
                  <c:v>41921</c:v>
                </c:pt>
                <c:pt idx="9">
                  <c:v>41922</c:v>
                </c:pt>
                <c:pt idx="10">
                  <c:v>41928</c:v>
                </c:pt>
                <c:pt idx="11">
                  <c:v>41977</c:v>
                </c:pt>
                <c:pt idx="12">
                  <c:v>42006</c:v>
                </c:pt>
                <c:pt idx="13">
                  <c:v>42027</c:v>
                </c:pt>
                <c:pt idx="14">
                  <c:v>42033</c:v>
                </c:pt>
                <c:pt idx="15">
                  <c:v>42034</c:v>
                </c:pt>
                <c:pt idx="16">
                  <c:v>42040</c:v>
                </c:pt>
                <c:pt idx="17">
                  <c:v>42075</c:v>
                </c:pt>
                <c:pt idx="18">
                  <c:v>42111</c:v>
                </c:pt>
              </c:numCache>
            </c:numRef>
          </c:xVal>
          <c:yVal>
            <c:numRef>
              <c:f>'Whipples 1st Pain'!$B$2:$B$20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2</c:v>
                </c:pt>
                <c:pt idx="9">
                  <c:v>10</c:v>
                </c:pt>
                <c:pt idx="10">
                  <c:v>0</c:v>
                </c:pt>
                <c:pt idx="11">
                  <c:v>4</c:v>
                </c:pt>
                <c:pt idx="12">
                  <c:v>0</c:v>
                </c:pt>
                <c:pt idx="13">
                  <c:v>8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64000"/>
        <c:axId val="70074752"/>
      </c:scatterChart>
      <c:valAx>
        <c:axId val="7006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>
            <c:manualLayout>
              <c:xMode val="edge"/>
              <c:yMode val="edge"/>
              <c:x val="0.44430503879322775"/>
              <c:y val="0.9240983037787095"/>
            </c:manualLayout>
          </c:layout>
          <c:overlay val="0"/>
        </c:title>
        <c:numFmt formatCode="m/d/yyyy" sourceLinked="1"/>
        <c:majorTickMark val="none"/>
        <c:minorTickMark val="none"/>
        <c:tickLblPos val="nextTo"/>
        <c:crossAx val="70074752"/>
        <c:crosses val="autoZero"/>
        <c:crossBetween val="midCat"/>
      </c:valAx>
      <c:valAx>
        <c:axId val="700747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Pain Reported (0-10)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0064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 i="0" baseline="0">
                <a:effectLst/>
              </a:rPr>
              <a:t>1st Reported Pain: Distal pancreatic surgery patients enrolled in ERAS at UNC</a:t>
            </a:r>
            <a:endParaRPr lang="en-US" sz="1050">
              <a:effectLst/>
            </a:endParaRPr>
          </a:p>
          <a:p>
            <a:pPr>
              <a:defRPr/>
            </a:pPr>
            <a:r>
              <a:rPr lang="en-US" sz="1050" b="0" i="0" baseline="0">
                <a:effectLst/>
              </a:rPr>
              <a:t>the patient's first verbal pain score after waking up from surgery</a:t>
            </a:r>
            <a:endParaRPr lang="en-US" sz="1050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'distals 1st Pain'!$B$1</c:f>
              <c:strCache>
                <c:ptCount val="1"/>
                <c:pt idx="0">
                  <c:v>1st Reported Pain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3399"/>
              </a:solidFill>
            </c:spPr>
          </c:marker>
          <c:xVal>
            <c:numRef>
              <c:f>'distals 1st Pain'!$A$2:$A$18</c:f>
              <c:numCache>
                <c:formatCode>m/d/yyyy</c:formatCode>
                <c:ptCount val="17"/>
                <c:pt idx="0">
                  <c:v>41830</c:v>
                </c:pt>
                <c:pt idx="1">
                  <c:v>41844</c:v>
                </c:pt>
                <c:pt idx="2">
                  <c:v>41844</c:v>
                </c:pt>
                <c:pt idx="3">
                  <c:v>41851</c:v>
                </c:pt>
                <c:pt idx="4">
                  <c:v>41907</c:v>
                </c:pt>
                <c:pt idx="5">
                  <c:v>41935</c:v>
                </c:pt>
                <c:pt idx="6">
                  <c:v>41935</c:v>
                </c:pt>
                <c:pt idx="7">
                  <c:v>41943</c:v>
                </c:pt>
                <c:pt idx="8">
                  <c:v>41949</c:v>
                </c:pt>
                <c:pt idx="9">
                  <c:v>41963</c:v>
                </c:pt>
                <c:pt idx="10">
                  <c:v>41984</c:v>
                </c:pt>
                <c:pt idx="11">
                  <c:v>42019</c:v>
                </c:pt>
                <c:pt idx="12">
                  <c:v>42041</c:v>
                </c:pt>
                <c:pt idx="13">
                  <c:v>42061</c:v>
                </c:pt>
                <c:pt idx="14">
                  <c:v>42068</c:v>
                </c:pt>
                <c:pt idx="15">
                  <c:v>42082</c:v>
                </c:pt>
                <c:pt idx="16">
                  <c:v>42110</c:v>
                </c:pt>
              </c:numCache>
            </c:numRef>
          </c:xVal>
          <c:yVal>
            <c:numRef>
              <c:f>'distals 1st Pain'!$B$2:$B$18</c:f>
              <c:numCache>
                <c:formatCode>General</c:formatCode>
                <c:ptCount val="17"/>
                <c:pt idx="0">
                  <c:v>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8</c:v>
                </c:pt>
                <c:pt idx="7">
                  <c:v>5</c:v>
                </c:pt>
                <c:pt idx="8">
                  <c:v>8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8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51872"/>
        <c:axId val="69954176"/>
      </c:scatterChart>
      <c:valAx>
        <c:axId val="6995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>
            <c:manualLayout>
              <c:xMode val="edge"/>
              <c:yMode val="edge"/>
              <c:x val="0.45441186554036206"/>
              <c:y val="0.9185055384651184"/>
            </c:manualLayout>
          </c:layout>
          <c:overlay val="0"/>
        </c:title>
        <c:numFmt formatCode="m/d/yyyy" sourceLinked="1"/>
        <c:majorTickMark val="none"/>
        <c:minorTickMark val="none"/>
        <c:tickLblPos val="nextTo"/>
        <c:crossAx val="69954176"/>
        <c:crosses val="autoZero"/>
        <c:crossBetween val="midCat"/>
      </c:valAx>
      <c:valAx>
        <c:axId val="69954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Pain Reported (1-10)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9951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400" b="1"/>
              <a:t>Median Length of Stay (LOS) in days:</a:t>
            </a:r>
          </a:p>
          <a:p>
            <a:pPr>
              <a:defRPr/>
            </a:pPr>
            <a:r>
              <a:rPr lang="en-US" sz="1600" b="0"/>
              <a:t>ERAS pancreatic</a:t>
            </a:r>
            <a:r>
              <a:rPr lang="en-US" sz="1600" b="0" baseline="0"/>
              <a:t> surgery patients at UNC and other institutions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2"/>
              <c:showLegendKey val="0"/>
              <c:showVal val="1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'LOS Meta'!$A$1:$A$12</c:f>
              <c:strCache>
                <c:ptCount val="12"/>
                <c:pt idx="0">
                  <c:v>Median LOS</c:v>
                </c:pt>
                <c:pt idx="1">
                  <c:v>ERAS at UNC (Distals)</c:v>
                </c:pt>
                <c:pt idx="2">
                  <c:v>ERAS at UNC (Whipples)</c:v>
                </c:pt>
                <c:pt idx="3">
                  <c:v>Kennedy et al.</c:v>
                </c:pt>
                <c:pt idx="4">
                  <c:v>Abu Hilal, et al.</c:v>
                </c:pt>
                <c:pt idx="5">
                  <c:v>Nikfarjam et al.</c:v>
                </c:pt>
                <c:pt idx="6">
                  <c:v>Vanounou et al.</c:v>
                </c:pt>
                <c:pt idx="7">
                  <c:v>Robertson et al.</c:v>
                </c:pt>
                <c:pt idx="8">
                  <c:v>di Sebastiano et al.</c:v>
                </c:pt>
                <c:pt idx="9">
                  <c:v>Berberat et al.</c:v>
                </c:pt>
                <c:pt idx="10">
                  <c:v>Porter et al.</c:v>
                </c:pt>
                <c:pt idx="11">
                  <c:v>Balzano et al.</c:v>
                </c:pt>
              </c:strCache>
            </c:strRef>
          </c:cat>
          <c:val>
            <c:numRef>
              <c:f>'LOS Meta'!$B$1:$B$12</c:f>
              <c:numCache>
                <c:formatCode>General</c:formatCode>
                <c:ptCount val="12"/>
              </c:numCache>
            </c:numRef>
          </c:val>
        </c:ser>
        <c:ser>
          <c:idx val="1"/>
          <c:order val="1"/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FF3399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3399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'LOS Meta'!$A$1:$A$12</c:f>
              <c:strCache>
                <c:ptCount val="12"/>
                <c:pt idx="0">
                  <c:v>Median LOS</c:v>
                </c:pt>
                <c:pt idx="1">
                  <c:v>ERAS at UNC (Distals)</c:v>
                </c:pt>
                <c:pt idx="2">
                  <c:v>ERAS at UNC (Whipples)</c:v>
                </c:pt>
                <c:pt idx="3">
                  <c:v>Kennedy et al.</c:v>
                </c:pt>
                <c:pt idx="4">
                  <c:v>Abu Hilal, et al.</c:v>
                </c:pt>
                <c:pt idx="5">
                  <c:v>Nikfarjam et al.</c:v>
                </c:pt>
                <c:pt idx="6">
                  <c:v>Vanounou et al.</c:v>
                </c:pt>
                <c:pt idx="7">
                  <c:v>Robertson et al.</c:v>
                </c:pt>
                <c:pt idx="8">
                  <c:v>di Sebastiano et al.</c:v>
                </c:pt>
                <c:pt idx="9">
                  <c:v>Berberat et al.</c:v>
                </c:pt>
                <c:pt idx="10">
                  <c:v>Porter et al.</c:v>
                </c:pt>
                <c:pt idx="11">
                  <c:v>Balzano et al.</c:v>
                </c:pt>
              </c:strCache>
            </c:strRef>
          </c:cat>
          <c:val>
            <c:numRef>
              <c:f>'LOS Meta'!$C$1:$C$12</c:f>
              <c:numCache>
                <c:formatCode>0</c:formatCode>
                <c:ptCount val="12"/>
                <c:pt idx="1">
                  <c:v>6</c:v>
                </c:pt>
                <c:pt idx="2">
                  <c:v>7</c:v>
                </c:pt>
                <c:pt idx="3" formatCode="General">
                  <c:v>7</c:v>
                </c:pt>
                <c:pt idx="4" formatCode="General">
                  <c:v>8</c:v>
                </c:pt>
                <c:pt idx="5" formatCode="General">
                  <c:v>8</c:v>
                </c:pt>
                <c:pt idx="6" formatCode="General">
                  <c:v>8</c:v>
                </c:pt>
                <c:pt idx="7" formatCode="General">
                  <c:v>10</c:v>
                </c:pt>
                <c:pt idx="8" formatCode="General">
                  <c:v>10</c:v>
                </c:pt>
                <c:pt idx="9" formatCode="General">
                  <c:v>10</c:v>
                </c:pt>
                <c:pt idx="10" formatCode="General">
                  <c:v>12</c:v>
                </c:pt>
                <c:pt idx="11" formatCode="General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75"/>
        <c:axId val="68532096"/>
        <c:axId val="69414272"/>
      </c:barChart>
      <c:catAx>
        <c:axId val="68532096"/>
        <c:scaling>
          <c:orientation val="minMax"/>
        </c:scaling>
        <c:delete val="0"/>
        <c:axPos val="l"/>
        <c:majorTickMark val="none"/>
        <c:minorTickMark val="none"/>
        <c:tickLblPos val="nextTo"/>
        <c:crossAx val="69414272"/>
        <c:crosses val="autoZero"/>
        <c:auto val="1"/>
        <c:lblAlgn val="ctr"/>
        <c:lblOffset val="100"/>
        <c:noMultiLvlLbl val="0"/>
      </c:catAx>
      <c:valAx>
        <c:axId val="6941427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 in Days (Discharge Date</a:t>
                </a:r>
                <a:r>
                  <a:rPr lang="en-US" baseline="0"/>
                  <a:t> - Surgery Date)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0890077419567841"/>
              <c:y val="0.9267691338200746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8532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(days)'!$B$1</c:f>
              <c:strCache>
                <c:ptCount val="1"/>
                <c:pt idx="0">
                  <c:v>Length of stay (days)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1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14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(days)'!$B$2:$B$64</c:f>
              <c:numCache>
                <c:formatCode>0.0</c:formatCode>
                <c:ptCount val="63"/>
                <c:pt idx="0">
                  <c:v>12</c:v>
                </c:pt>
                <c:pt idx="1">
                  <c:v>9</c:v>
                </c:pt>
                <c:pt idx="2">
                  <c:v>8</c:v>
                </c:pt>
                <c:pt idx="3">
                  <c:v>14</c:v>
                </c:pt>
                <c:pt idx="4">
                  <c:v>9</c:v>
                </c:pt>
                <c:pt idx="5">
                  <c:v>9</c:v>
                </c:pt>
                <c:pt idx="6">
                  <c:v>22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6</c:v>
                </c:pt>
                <c:pt idx="12">
                  <c:v>11</c:v>
                </c:pt>
                <c:pt idx="13">
                  <c:v>22</c:v>
                </c:pt>
                <c:pt idx="14">
                  <c:v>21</c:v>
                </c:pt>
                <c:pt idx="15">
                  <c:v>7</c:v>
                </c:pt>
                <c:pt idx="16">
                  <c:v>9</c:v>
                </c:pt>
                <c:pt idx="17">
                  <c:v>6</c:v>
                </c:pt>
                <c:pt idx="18">
                  <c:v>14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13</c:v>
                </c:pt>
                <c:pt idx="24">
                  <c:v>14</c:v>
                </c:pt>
                <c:pt idx="25">
                  <c:v>14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7</c:v>
                </c:pt>
                <c:pt idx="30">
                  <c:v>18</c:v>
                </c:pt>
                <c:pt idx="31">
                  <c:v>10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8">
                  <c:v>21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3">
                  <c:v>7</c:v>
                </c:pt>
                <c:pt idx="44">
                  <c:v>12</c:v>
                </c:pt>
                <c:pt idx="45">
                  <c:v>7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17</c:v>
                </c:pt>
                <c:pt idx="54">
                  <c:v>7</c:v>
                </c:pt>
                <c:pt idx="55">
                  <c:v>6</c:v>
                </c:pt>
                <c:pt idx="56">
                  <c:v>6</c:v>
                </c:pt>
                <c:pt idx="57">
                  <c:v>9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(days)'!$C$1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(days)'!$C$2:$C$64</c:f>
              <c:numCache>
                <c:formatCode>0.0</c:formatCode>
                <c:ptCount val="63"/>
                <c:pt idx="0">
                  <c:v>23.709547038327528</c:v>
                </c:pt>
                <c:pt idx="1">
                  <c:v>23.709547038327528</c:v>
                </c:pt>
                <c:pt idx="2">
                  <c:v>23.709547038327528</c:v>
                </c:pt>
                <c:pt idx="3">
                  <c:v>23.709547038327528</c:v>
                </c:pt>
                <c:pt idx="4">
                  <c:v>23.709547038327528</c:v>
                </c:pt>
                <c:pt idx="5">
                  <c:v>23.709547038327528</c:v>
                </c:pt>
                <c:pt idx="6">
                  <c:v>23.709547038327528</c:v>
                </c:pt>
                <c:pt idx="7">
                  <c:v>23.709547038327528</c:v>
                </c:pt>
                <c:pt idx="8">
                  <c:v>23.709547038327528</c:v>
                </c:pt>
                <c:pt idx="9">
                  <c:v>23.709547038327528</c:v>
                </c:pt>
                <c:pt idx="10">
                  <c:v>23.709547038327528</c:v>
                </c:pt>
                <c:pt idx="11">
                  <c:v>23.709547038327528</c:v>
                </c:pt>
                <c:pt idx="12">
                  <c:v>23.709547038327528</c:v>
                </c:pt>
                <c:pt idx="13">
                  <c:v>23.709547038327528</c:v>
                </c:pt>
                <c:pt idx="14">
                  <c:v>23.709547038327528</c:v>
                </c:pt>
                <c:pt idx="15">
                  <c:v>23.709547038327528</c:v>
                </c:pt>
                <c:pt idx="16">
                  <c:v>23.709547038327528</c:v>
                </c:pt>
                <c:pt idx="17">
                  <c:v>23.709547038327528</c:v>
                </c:pt>
                <c:pt idx="18">
                  <c:v>23.709547038327528</c:v>
                </c:pt>
                <c:pt idx="19">
                  <c:v>23.709547038327528</c:v>
                </c:pt>
                <c:pt idx="20">
                  <c:v>23.709547038327528</c:v>
                </c:pt>
                <c:pt idx="21">
                  <c:v>23.709547038327528</c:v>
                </c:pt>
                <c:pt idx="22">
                  <c:v>23.709547038327528</c:v>
                </c:pt>
                <c:pt idx="23">
                  <c:v>23.709547038327528</c:v>
                </c:pt>
                <c:pt idx="24">
                  <c:v>23.709547038327528</c:v>
                </c:pt>
                <c:pt idx="25">
                  <c:v>23.709547038327528</c:v>
                </c:pt>
                <c:pt idx="26">
                  <c:v>23.709547038327528</c:v>
                </c:pt>
                <c:pt idx="27">
                  <c:v>23.709547038327528</c:v>
                </c:pt>
                <c:pt idx="28">
                  <c:v>23.709547038327528</c:v>
                </c:pt>
                <c:pt idx="29">
                  <c:v>23.709547038327528</c:v>
                </c:pt>
                <c:pt idx="30">
                  <c:v>23.709547038327528</c:v>
                </c:pt>
                <c:pt idx="31">
                  <c:v>23.709547038327528</c:v>
                </c:pt>
                <c:pt idx="32">
                  <c:v>23.709547038327528</c:v>
                </c:pt>
                <c:pt idx="33">
                  <c:v>23.709547038327528</c:v>
                </c:pt>
                <c:pt idx="34">
                  <c:v>23.709547038327528</c:v>
                </c:pt>
                <c:pt idx="35">
                  <c:v>23.709547038327528</c:v>
                </c:pt>
                <c:pt idx="36">
                  <c:v>23.709547038327528</c:v>
                </c:pt>
                <c:pt idx="37">
                  <c:v>23.709547038327528</c:v>
                </c:pt>
                <c:pt idx="38">
                  <c:v>23.709547038327528</c:v>
                </c:pt>
                <c:pt idx="39">
                  <c:v>23.709547038327528</c:v>
                </c:pt>
                <c:pt idx="40">
                  <c:v>23.709547038327528</c:v>
                </c:pt>
                <c:pt idx="41">
                  <c:v>23.709547038327528</c:v>
                </c:pt>
                <c:pt idx="43">
                  <c:v>14.31</c:v>
                </c:pt>
                <c:pt idx="44">
                  <c:v>14.31</c:v>
                </c:pt>
                <c:pt idx="45">
                  <c:v>14.31</c:v>
                </c:pt>
                <c:pt idx="46">
                  <c:v>14.31</c:v>
                </c:pt>
                <c:pt idx="47">
                  <c:v>14.31</c:v>
                </c:pt>
                <c:pt idx="48">
                  <c:v>14.31</c:v>
                </c:pt>
                <c:pt idx="49">
                  <c:v>14.31</c:v>
                </c:pt>
                <c:pt idx="50">
                  <c:v>14.31</c:v>
                </c:pt>
                <c:pt idx="51">
                  <c:v>14.31</c:v>
                </c:pt>
                <c:pt idx="52">
                  <c:v>14.31</c:v>
                </c:pt>
                <c:pt idx="53">
                  <c:v>14.31</c:v>
                </c:pt>
                <c:pt idx="54">
                  <c:v>14.31</c:v>
                </c:pt>
                <c:pt idx="55">
                  <c:v>14.31</c:v>
                </c:pt>
                <c:pt idx="56">
                  <c:v>14.31</c:v>
                </c:pt>
                <c:pt idx="57">
                  <c:v>14.31</c:v>
                </c:pt>
                <c:pt idx="58">
                  <c:v>14.31</c:v>
                </c:pt>
                <c:pt idx="59">
                  <c:v>14.31</c:v>
                </c:pt>
                <c:pt idx="60">
                  <c:v>14.31</c:v>
                </c:pt>
                <c:pt idx="61">
                  <c:v>14.31</c:v>
                </c:pt>
                <c:pt idx="62">
                  <c:v>14.31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(days)'!$D$1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(days)'!$D$2:$D$64</c:f>
              <c:numCache>
                <c:formatCode>0.0</c:formatCode>
                <c:ptCount val="63"/>
                <c:pt idx="0">
                  <c:v>19.449221835075495</c:v>
                </c:pt>
                <c:pt idx="1">
                  <c:v>19.449221835075495</c:v>
                </c:pt>
                <c:pt idx="2">
                  <c:v>19.449221835075495</c:v>
                </c:pt>
                <c:pt idx="3">
                  <c:v>19.449221835075495</c:v>
                </c:pt>
                <c:pt idx="4">
                  <c:v>19.449221835075495</c:v>
                </c:pt>
                <c:pt idx="5">
                  <c:v>19.449221835075495</c:v>
                </c:pt>
                <c:pt idx="6">
                  <c:v>19.449221835075495</c:v>
                </c:pt>
                <c:pt idx="7">
                  <c:v>19.449221835075495</c:v>
                </c:pt>
                <c:pt idx="8">
                  <c:v>19.449221835075495</c:v>
                </c:pt>
                <c:pt idx="9">
                  <c:v>19.449221835075495</c:v>
                </c:pt>
                <c:pt idx="10">
                  <c:v>19.449221835075495</c:v>
                </c:pt>
                <c:pt idx="11">
                  <c:v>19.449221835075495</c:v>
                </c:pt>
                <c:pt idx="12">
                  <c:v>19.449221835075495</c:v>
                </c:pt>
                <c:pt idx="13">
                  <c:v>19.449221835075495</c:v>
                </c:pt>
                <c:pt idx="14">
                  <c:v>19.449221835075495</c:v>
                </c:pt>
                <c:pt idx="15">
                  <c:v>19.449221835075495</c:v>
                </c:pt>
                <c:pt idx="16">
                  <c:v>19.449221835075495</c:v>
                </c:pt>
                <c:pt idx="17">
                  <c:v>19.449221835075495</c:v>
                </c:pt>
                <c:pt idx="18">
                  <c:v>19.449221835075495</c:v>
                </c:pt>
                <c:pt idx="19">
                  <c:v>19.449221835075495</c:v>
                </c:pt>
                <c:pt idx="20">
                  <c:v>19.449221835075495</c:v>
                </c:pt>
                <c:pt idx="21">
                  <c:v>19.449221835075495</c:v>
                </c:pt>
                <c:pt idx="22">
                  <c:v>19.449221835075495</c:v>
                </c:pt>
                <c:pt idx="23">
                  <c:v>19.449221835075495</c:v>
                </c:pt>
                <c:pt idx="24">
                  <c:v>19.449221835075495</c:v>
                </c:pt>
                <c:pt idx="25">
                  <c:v>19.449221835075495</c:v>
                </c:pt>
                <c:pt idx="26">
                  <c:v>19.449221835075495</c:v>
                </c:pt>
                <c:pt idx="27">
                  <c:v>19.449221835075495</c:v>
                </c:pt>
                <c:pt idx="28">
                  <c:v>19.449221835075495</c:v>
                </c:pt>
                <c:pt idx="29">
                  <c:v>19.449221835075495</c:v>
                </c:pt>
                <c:pt idx="30">
                  <c:v>19.449221835075495</c:v>
                </c:pt>
                <c:pt idx="31">
                  <c:v>19.449221835075495</c:v>
                </c:pt>
                <c:pt idx="32">
                  <c:v>19.449221835075495</c:v>
                </c:pt>
                <c:pt idx="33">
                  <c:v>19.449221835075495</c:v>
                </c:pt>
                <c:pt idx="34">
                  <c:v>19.449221835075495</c:v>
                </c:pt>
                <c:pt idx="35">
                  <c:v>19.449221835075495</c:v>
                </c:pt>
                <c:pt idx="36">
                  <c:v>19.449221835075495</c:v>
                </c:pt>
                <c:pt idx="37">
                  <c:v>19.449221835075495</c:v>
                </c:pt>
                <c:pt idx="38">
                  <c:v>19.449221835075495</c:v>
                </c:pt>
                <c:pt idx="39">
                  <c:v>19.449221835075495</c:v>
                </c:pt>
                <c:pt idx="40">
                  <c:v>19.449221835075495</c:v>
                </c:pt>
                <c:pt idx="41">
                  <c:v>19.449221835075495</c:v>
                </c:pt>
                <c:pt idx="43">
                  <c:v>12.256666666666668</c:v>
                </c:pt>
                <c:pt idx="44">
                  <c:v>12.256666666666668</c:v>
                </c:pt>
                <c:pt idx="45">
                  <c:v>12.256666666666668</c:v>
                </c:pt>
                <c:pt idx="46">
                  <c:v>12.256666666666668</c:v>
                </c:pt>
                <c:pt idx="47">
                  <c:v>12.256666666666668</c:v>
                </c:pt>
                <c:pt idx="48">
                  <c:v>12.256666666666668</c:v>
                </c:pt>
                <c:pt idx="49">
                  <c:v>12.256666666666668</c:v>
                </c:pt>
                <c:pt idx="50">
                  <c:v>12.256666666666668</c:v>
                </c:pt>
                <c:pt idx="51">
                  <c:v>12.256666666666668</c:v>
                </c:pt>
                <c:pt idx="52">
                  <c:v>12.256666666666668</c:v>
                </c:pt>
                <c:pt idx="53">
                  <c:v>12.256666666666668</c:v>
                </c:pt>
                <c:pt idx="54">
                  <c:v>12.256666666666668</c:v>
                </c:pt>
                <c:pt idx="55">
                  <c:v>12.256666666666668</c:v>
                </c:pt>
                <c:pt idx="56">
                  <c:v>12.256666666666668</c:v>
                </c:pt>
                <c:pt idx="57">
                  <c:v>12.256666666666668</c:v>
                </c:pt>
                <c:pt idx="58">
                  <c:v>12.256666666666668</c:v>
                </c:pt>
                <c:pt idx="59">
                  <c:v>12.256666666666668</c:v>
                </c:pt>
                <c:pt idx="60">
                  <c:v>12.256666666666668</c:v>
                </c:pt>
                <c:pt idx="61">
                  <c:v>12.256666666666668</c:v>
                </c:pt>
                <c:pt idx="62">
                  <c:v>12.256666666666668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(days)'!$E$1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(days)'!$E$2:$E$64</c:f>
              <c:numCache>
                <c:formatCode>0.0</c:formatCode>
                <c:ptCount val="63"/>
                <c:pt idx="0">
                  <c:v>15.188896631823461</c:v>
                </c:pt>
                <c:pt idx="1">
                  <c:v>15.188896631823461</c:v>
                </c:pt>
                <c:pt idx="2">
                  <c:v>15.188896631823461</c:v>
                </c:pt>
                <c:pt idx="3">
                  <c:v>15.188896631823461</c:v>
                </c:pt>
                <c:pt idx="4">
                  <c:v>15.188896631823461</c:v>
                </c:pt>
                <c:pt idx="5">
                  <c:v>15.188896631823461</c:v>
                </c:pt>
                <c:pt idx="6">
                  <c:v>15.188896631823461</c:v>
                </c:pt>
                <c:pt idx="7">
                  <c:v>15.188896631823461</c:v>
                </c:pt>
                <c:pt idx="8">
                  <c:v>15.188896631823461</c:v>
                </c:pt>
                <c:pt idx="9">
                  <c:v>15.188896631823461</c:v>
                </c:pt>
                <c:pt idx="10">
                  <c:v>15.188896631823461</c:v>
                </c:pt>
                <c:pt idx="11">
                  <c:v>15.188896631823461</c:v>
                </c:pt>
                <c:pt idx="12">
                  <c:v>15.188896631823461</c:v>
                </c:pt>
                <c:pt idx="13">
                  <c:v>15.188896631823461</c:v>
                </c:pt>
                <c:pt idx="14">
                  <c:v>15.188896631823461</c:v>
                </c:pt>
                <c:pt idx="15">
                  <c:v>15.188896631823461</c:v>
                </c:pt>
                <c:pt idx="16">
                  <c:v>15.188896631823461</c:v>
                </c:pt>
                <c:pt idx="17">
                  <c:v>15.188896631823461</c:v>
                </c:pt>
                <c:pt idx="18">
                  <c:v>15.188896631823461</c:v>
                </c:pt>
                <c:pt idx="19">
                  <c:v>15.188896631823461</c:v>
                </c:pt>
                <c:pt idx="20">
                  <c:v>15.188896631823461</c:v>
                </c:pt>
                <c:pt idx="21">
                  <c:v>15.188896631823461</c:v>
                </c:pt>
                <c:pt idx="22">
                  <c:v>15.188896631823461</c:v>
                </c:pt>
                <c:pt idx="23">
                  <c:v>15.188896631823461</c:v>
                </c:pt>
                <c:pt idx="24">
                  <c:v>15.188896631823461</c:v>
                </c:pt>
                <c:pt idx="25">
                  <c:v>15.188896631823461</c:v>
                </c:pt>
                <c:pt idx="26">
                  <c:v>15.188896631823461</c:v>
                </c:pt>
                <c:pt idx="27">
                  <c:v>15.188896631823461</c:v>
                </c:pt>
                <c:pt idx="28">
                  <c:v>15.188896631823461</c:v>
                </c:pt>
                <c:pt idx="29">
                  <c:v>15.188896631823461</c:v>
                </c:pt>
                <c:pt idx="30">
                  <c:v>15.188896631823461</c:v>
                </c:pt>
                <c:pt idx="31">
                  <c:v>15.188896631823461</c:v>
                </c:pt>
                <c:pt idx="32">
                  <c:v>15.188896631823461</c:v>
                </c:pt>
                <c:pt idx="33">
                  <c:v>15.188896631823461</c:v>
                </c:pt>
                <c:pt idx="34">
                  <c:v>15.188896631823461</c:v>
                </c:pt>
                <c:pt idx="35">
                  <c:v>15.188896631823461</c:v>
                </c:pt>
                <c:pt idx="36">
                  <c:v>15.188896631823461</c:v>
                </c:pt>
                <c:pt idx="37">
                  <c:v>15.188896631823461</c:v>
                </c:pt>
                <c:pt idx="38">
                  <c:v>15.188896631823461</c:v>
                </c:pt>
                <c:pt idx="39">
                  <c:v>15.188896631823461</c:v>
                </c:pt>
                <c:pt idx="40">
                  <c:v>15.188896631823461</c:v>
                </c:pt>
                <c:pt idx="41">
                  <c:v>15.188896631823461</c:v>
                </c:pt>
                <c:pt idx="43">
                  <c:v>10.203333333333333</c:v>
                </c:pt>
                <c:pt idx="44">
                  <c:v>10.203333333333333</c:v>
                </c:pt>
                <c:pt idx="45">
                  <c:v>10.203333333333333</c:v>
                </c:pt>
                <c:pt idx="46">
                  <c:v>10.203333333333333</c:v>
                </c:pt>
                <c:pt idx="47">
                  <c:v>10.203333333333333</c:v>
                </c:pt>
                <c:pt idx="48">
                  <c:v>10.203333333333333</c:v>
                </c:pt>
                <c:pt idx="49">
                  <c:v>10.203333333333333</c:v>
                </c:pt>
                <c:pt idx="50">
                  <c:v>10.203333333333333</c:v>
                </c:pt>
                <c:pt idx="51">
                  <c:v>10.203333333333333</c:v>
                </c:pt>
                <c:pt idx="52">
                  <c:v>10.203333333333333</c:v>
                </c:pt>
                <c:pt idx="53">
                  <c:v>10.203333333333333</c:v>
                </c:pt>
                <c:pt idx="54">
                  <c:v>10.203333333333333</c:v>
                </c:pt>
                <c:pt idx="55">
                  <c:v>10.203333333333333</c:v>
                </c:pt>
                <c:pt idx="56">
                  <c:v>10.203333333333333</c:v>
                </c:pt>
                <c:pt idx="57">
                  <c:v>10.203333333333333</c:v>
                </c:pt>
                <c:pt idx="58">
                  <c:v>10.203333333333333</c:v>
                </c:pt>
                <c:pt idx="59">
                  <c:v>10.203333333333333</c:v>
                </c:pt>
                <c:pt idx="60">
                  <c:v>10.203333333333333</c:v>
                </c:pt>
                <c:pt idx="61">
                  <c:v>10.203333333333333</c:v>
                </c:pt>
                <c:pt idx="62">
                  <c:v>10.203333333333333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(days)'!$F$1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(days)'!$F$2:$F$64</c:f>
              <c:numCache>
                <c:formatCode>0.0</c:formatCode>
                <c:ptCount val="63"/>
                <c:pt idx="0">
                  <c:v>10.928571428571429</c:v>
                </c:pt>
                <c:pt idx="1">
                  <c:v>10.928571428571429</c:v>
                </c:pt>
                <c:pt idx="2">
                  <c:v>10.928571428571429</c:v>
                </c:pt>
                <c:pt idx="3">
                  <c:v>10.928571428571429</c:v>
                </c:pt>
                <c:pt idx="4">
                  <c:v>10.928571428571429</c:v>
                </c:pt>
                <c:pt idx="5">
                  <c:v>10.928571428571429</c:v>
                </c:pt>
                <c:pt idx="6">
                  <c:v>10.928571428571429</c:v>
                </c:pt>
                <c:pt idx="7">
                  <c:v>10.928571428571429</c:v>
                </c:pt>
                <c:pt idx="8">
                  <c:v>10.928571428571429</c:v>
                </c:pt>
                <c:pt idx="9">
                  <c:v>10.928571428571429</c:v>
                </c:pt>
                <c:pt idx="10">
                  <c:v>10.928571428571429</c:v>
                </c:pt>
                <c:pt idx="11">
                  <c:v>10.928571428571429</c:v>
                </c:pt>
                <c:pt idx="12">
                  <c:v>10.928571428571429</c:v>
                </c:pt>
                <c:pt idx="13">
                  <c:v>10.928571428571429</c:v>
                </c:pt>
                <c:pt idx="14">
                  <c:v>10.928571428571429</c:v>
                </c:pt>
                <c:pt idx="15">
                  <c:v>10.928571428571429</c:v>
                </c:pt>
                <c:pt idx="16">
                  <c:v>10.928571428571429</c:v>
                </c:pt>
                <c:pt idx="17">
                  <c:v>10.928571428571429</c:v>
                </c:pt>
                <c:pt idx="18">
                  <c:v>10.928571428571429</c:v>
                </c:pt>
                <c:pt idx="19">
                  <c:v>10.928571428571429</c:v>
                </c:pt>
                <c:pt idx="20">
                  <c:v>10.928571428571429</c:v>
                </c:pt>
                <c:pt idx="21">
                  <c:v>10.928571428571429</c:v>
                </c:pt>
                <c:pt idx="22">
                  <c:v>10.928571428571429</c:v>
                </c:pt>
                <c:pt idx="23">
                  <c:v>10.928571428571429</c:v>
                </c:pt>
                <c:pt idx="24">
                  <c:v>10.928571428571429</c:v>
                </c:pt>
                <c:pt idx="25">
                  <c:v>10.928571428571429</c:v>
                </c:pt>
                <c:pt idx="26">
                  <c:v>10.928571428571429</c:v>
                </c:pt>
                <c:pt idx="27">
                  <c:v>10.928571428571429</c:v>
                </c:pt>
                <c:pt idx="28">
                  <c:v>10.928571428571429</c:v>
                </c:pt>
                <c:pt idx="29">
                  <c:v>10.928571428571429</c:v>
                </c:pt>
                <c:pt idx="30">
                  <c:v>10.928571428571429</c:v>
                </c:pt>
                <c:pt idx="31">
                  <c:v>10.928571428571429</c:v>
                </c:pt>
                <c:pt idx="32">
                  <c:v>10.928571428571429</c:v>
                </c:pt>
                <c:pt idx="33">
                  <c:v>10.928571428571429</c:v>
                </c:pt>
                <c:pt idx="34">
                  <c:v>10.928571428571429</c:v>
                </c:pt>
                <c:pt idx="35">
                  <c:v>10.928571428571429</c:v>
                </c:pt>
                <c:pt idx="36">
                  <c:v>10.928571428571429</c:v>
                </c:pt>
                <c:pt idx="37">
                  <c:v>10.928571428571429</c:v>
                </c:pt>
                <c:pt idx="38">
                  <c:v>10.928571428571429</c:v>
                </c:pt>
                <c:pt idx="39">
                  <c:v>10.928571428571429</c:v>
                </c:pt>
                <c:pt idx="40">
                  <c:v>10.928571428571429</c:v>
                </c:pt>
                <c:pt idx="41">
                  <c:v>10.928571428571429</c:v>
                </c:pt>
                <c:pt idx="43">
                  <c:v>8.15</c:v>
                </c:pt>
                <c:pt idx="44">
                  <c:v>8.15</c:v>
                </c:pt>
                <c:pt idx="45">
                  <c:v>8.15</c:v>
                </c:pt>
                <c:pt idx="46">
                  <c:v>8.15</c:v>
                </c:pt>
                <c:pt idx="47">
                  <c:v>8.15</c:v>
                </c:pt>
                <c:pt idx="48">
                  <c:v>8.15</c:v>
                </c:pt>
                <c:pt idx="49">
                  <c:v>8.15</c:v>
                </c:pt>
                <c:pt idx="50">
                  <c:v>8.15</c:v>
                </c:pt>
                <c:pt idx="51">
                  <c:v>8.15</c:v>
                </c:pt>
                <c:pt idx="52">
                  <c:v>8.15</c:v>
                </c:pt>
                <c:pt idx="53">
                  <c:v>8.15</c:v>
                </c:pt>
                <c:pt idx="54">
                  <c:v>8.15</c:v>
                </c:pt>
                <c:pt idx="55">
                  <c:v>8.15</c:v>
                </c:pt>
                <c:pt idx="56">
                  <c:v>8.15</c:v>
                </c:pt>
                <c:pt idx="57">
                  <c:v>8.15</c:v>
                </c:pt>
                <c:pt idx="58">
                  <c:v>8.15</c:v>
                </c:pt>
                <c:pt idx="59">
                  <c:v>8.15</c:v>
                </c:pt>
                <c:pt idx="60">
                  <c:v>8.15</c:v>
                </c:pt>
                <c:pt idx="61">
                  <c:v>8.15</c:v>
                </c:pt>
                <c:pt idx="62">
                  <c:v>8.15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(days)'!$G$1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(days)'!$G$2:$G$64</c:f>
              <c:numCache>
                <c:formatCode>0.0</c:formatCode>
                <c:ptCount val="63"/>
                <c:pt idx="0">
                  <c:v>6.6682462253193959</c:v>
                </c:pt>
                <c:pt idx="1">
                  <c:v>6.6682462253193959</c:v>
                </c:pt>
                <c:pt idx="2">
                  <c:v>6.6682462253193959</c:v>
                </c:pt>
                <c:pt idx="3">
                  <c:v>6.6682462253193959</c:v>
                </c:pt>
                <c:pt idx="4">
                  <c:v>6.6682462253193959</c:v>
                </c:pt>
                <c:pt idx="5">
                  <c:v>6.6682462253193959</c:v>
                </c:pt>
                <c:pt idx="6">
                  <c:v>6.6682462253193959</c:v>
                </c:pt>
                <c:pt idx="7">
                  <c:v>6.6682462253193959</c:v>
                </c:pt>
                <c:pt idx="8">
                  <c:v>6.6682462253193959</c:v>
                </c:pt>
                <c:pt idx="9">
                  <c:v>6.6682462253193959</c:v>
                </c:pt>
                <c:pt idx="10">
                  <c:v>6.6682462253193959</c:v>
                </c:pt>
                <c:pt idx="11">
                  <c:v>6.6682462253193959</c:v>
                </c:pt>
                <c:pt idx="12">
                  <c:v>6.6682462253193959</c:v>
                </c:pt>
                <c:pt idx="13">
                  <c:v>6.6682462253193959</c:v>
                </c:pt>
                <c:pt idx="14">
                  <c:v>6.6682462253193959</c:v>
                </c:pt>
                <c:pt idx="15">
                  <c:v>6.6682462253193959</c:v>
                </c:pt>
                <c:pt idx="16">
                  <c:v>6.6682462253193959</c:v>
                </c:pt>
                <c:pt idx="17">
                  <c:v>6.6682462253193959</c:v>
                </c:pt>
                <c:pt idx="18">
                  <c:v>6.6682462253193959</c:v>
                </c:pt>
                <c:pt idx="19">
                  <c:v>6.6682462253193959</c:v>
                </c:pt>
                <c:pt idx="20">
                  <c:v>6.6682462253193959</c:v>
                </c:pt>
                <c:pt idx="21">
                  <c:v>6.6682462253193959</c:v>
                </c:pt>
                <c:pt idx="22">
                  <c:v>6.6682462253193959</c:v>
                </c:pt>
                <c:pt idx="23">
                  <c:v>6.6682462253193959</c:v>
                </c:pt>
                <c:pt idx="24">
                  <c:v>6.6682462253193959</c:v>
                </c:pt>
                <c:pt idx="25">
                  <c:v>6.6682462253193959</c:v>
                </c:pt>
                <c:pt idx="26">
                  <c:v>6.6682462253193959</c:v>
                </c:pt>
                <c:pt idx="27">
                  <c:v>6.6682462253193959</c:v>
                </c:pt>
                <c:pt idx="28">
                  <c:v>6.6682462253193959</c:v>
                </c:pt>
                <c:pt idx="29">
                  <c:v>6.6682462253193959</c:v>
                </c:pt>
                <c:pt idx="30">
                  <c:v>6.6682462253193959</c:v>
                </c:pt>
                <c:pt idx="31">
                  <c:v>6.6682462253193959</c:v>
                </c:pt>
                <c:pt idx="32">
                  <c:v>6.6682462253193959</c:v>
                </c:pt>
                <c:pt idx="33">
                  <c:v>6.6682462253193959</c:v>
                </c:pt>
                <c:pt idx="34">
                  <c:v>6.6682462253193959</c:v>
                </c:pt>
                <c:pt idx="35">
                  <c:v>6.6682462253193959</c:v>
                </c:pt>
                <c:pt idx="36">
                  <c:v>6.6682462253193959</c:v>
                </c:pt>
                <c:pt idx="37">
                  <c:v>6.6682462253193959</c:v>
                </c:pt>
                <c:pt idx="38">
                  <c:v>6.6682462253193959</c:v>
                </c:pt>
                <c:pt idx="39">
                  <c:v>6.6682462253193959</c:v>
                </c:pt>
                <c:pt idx="40">
                  <c:v>6.6682462253193959</c:v>
                </c:pt>
                <c:pt idx="41">
                  <c:v>6.6682462253193959</c:v>
                </c:pt>
                <c:pt idx="43">
                  <c:v>6.0966666666666667</c:v>
                </c:pt>
                <c:pt idx="44">
                  <c:v>6.0966666666666667</c:v>
                </c:pt>
                <c:pt idx="45">
                  <c:v>6.0966666666666667</c:v>
                </c:pt>
                <c:pt idx="46">
                  <c:v>6.0966666666666667</c:v>
                </c:pt>
                <c:pt idx="47">
                  <c:v>6.0966666666666667</c:v>
                </c:pt>
                <c:pt idx="48">
                  <c:v>6.0966666666666667</c:v>
                </c:pt>
                <c:pt idx="49">
                  <c:v>6.0966666666666667</c:v>
                </c:pt>
                <c:pt idx="50">
                  <c:v>6.0966666666666667</c:v>
                </c:pt>
                <c:pt idx="51">
                  <c:v>6.0966666666666667</c:v>
                </c:pt>
                <c:pt idx="52">
                  <c:v>6.0966666666666667</c:v>
                </c:pt>
                <c:pt idx="53">
                  <c:v>6.0966666666666667</c:v>
                </c:pt>
                <c:pt idx="54">
                  <c:v>6.0966666666666667</c:v>
                </c:pt>
                <c:pt idx="55">
                  <c:v>6.0966666666666667</c:v>
                </c:pt>
                <c:pt idx="56">
                  <c:v>6.0966666666666667</c:v>
                </c:pt>
                <c:pt idx="57">
                  <c:v>6.0966666666666667</c:v>
                </c:pt>
                <c:pt idx="58">
                  <c:v>6.0966666666666667</c:v>
                </c:pt>
                <c:pt idx="59">
                  <c:v>6.0966666666666667</c:v>
                </c:pt>
                <c:pt idx="60">
                  <c:v>6.0966666666666667</c:v>
                </c:pt>
                <c:pt idx="61">
                  <c:v>6.0966666666666667</c:v>
                </c:pt>
                <c:pt idx="62">
                  <c:v>6.0966666666666667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(days)'!$H$1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(days)'!$H$2:$H$64</c:f>
              <c:numCache>
                <c:formatCode>0.0</c:formatCode>
                <c:ptCount val="63"/>
                <c:pt idx="0">
                  <c:v>2.407921022067363</c:v>
                </c:pt>
                <c:pt idx="1">
                  <c:v>2.407921022067363</c:v>
                </c:pt>
                <c:pt idx="2">
                  <c:v>2.407921022067363</c:v>
                </c:pt>
                <c:pt idx="3">
                  <c:v>2.407921022067363</c:v>
                </c:pt>
                <c:pt idx="4">
                  <c:v>2.407921022067363</c:v>
                </c:pt>
                <c:pt idx="5">
                  <c:v>2.407921022067363</c:v>
                </c:pt>
                <c:pt idx="6">
                  <c:v>2.407921022067363</c:v>
                </c:pt>
                <c:pt idx="7">
                  <c:v>2.407921022067363</c:v>
                </c:pt>
                <c:pt idx="8">
                  <c:v>2.407921022067363</c:v>
                </c:pt>
                <c:pt idx="9">
                  <c:v>2.407921022067363</c:v>
                </c:pt>
                <c:pt idx="10">
                  <c:v>2.407921022067363</c:v>
                </c:pt>
                <c:pt idx="11">
                  <c:v>2.407921022067363</c:v>
                </c:pt>
                <c:pt idx="12">
                  <c:v>2.407921022067363</c:v>
                </c:pt>
                <c:pt idx="13">
                  <c:v>2.407921022067363</c:v>
                </c:pt>
                <c:pt idx="14">
                  <c:v>2.407921022067363</c:v>
                </c:pt>
                <c:pt idx="15">
                  <c:v>2.407921022067363</c:v>
                </c:pt>
                <c:pt idx="16">
                  <c:v>2.407921022067363</c:v>
                </c:pt>
                <c:pt idx="17">
                  <c:v>2.407921022067363</c:v>
                </c:pt>
                <c:pt idx="18">
                  <c:v>2.407921022067363</c:v>
                </c:pt>
                <c:pt idx="19">
                  <c:v>2.407921022067363</c:v>
                </c:pt>
                <c:pt idx="20">
                  <c:v>2.407921022067363</c:v>
                </c:pt>
                <c:pt idx="21">
                  <c:v>2.407921022067363</c:v>
                </c:pt>
                <c:pt idx="22">
                  <c:v>2.407921022067363</c:v>
                </c:pt>
                <c:pt idx="23">
                  <c:v>2.407921022067363</c:v>
                </c:pt>
                <c:pt idx="24">
                  <c:v>2.407921022067363</c:v>
                </c:pt>
                <c:pt idx="25">
                  <c:v>2.407921022067363</c:v>
                </c:pt>
                <c:pt idx="26">
                  <c:v>2.407921022067363</c:v>
                </c:pt>
                <c:pt idx="27">
                  <c:v>2.407921022067363</c:v>
                </c:pt>
                <c:pt idx="28">
                  <c:v>2.407921022067363</c:v>
                </c:pt>
                <c:pt idx="29">
                  <c:v>2.407921022067363</c:v>
                </c:pt>
                <c:pt idx="30">
                  <c:v>2.407921022067363</c:v>
                </c:pt>
                <c:pt idx="31">
                  <c:v>2.407921022067363</c:v>
                </c:pt>
                <c:pt idx="32">
                  <c:v>2.407921022067363</c:v>
                </c:pt>
                <c:pt idx="33">
                  <c:v>2.407921022067363</c:v>
                </c:pt>
                <c:pt idx="34">
                  <c:v>2.407921022067363</c:v>
                </c:pt>
                <c:pt idx="35">
                  <c:v>2.407921022067363</c:v>
                </c:pt>
                <c:pt idx="36">
                  <c:v>2.407921022067363</c:v>
                </c:pt>
                <c:pt idx="37">
                  <c:v>2.407921022067363</c:v>
                </c:pt>
                <c:pt idx="38">
                  <c:v>2.407921022067363</c:v>
                </c:pt>
                <c:pt idx="39">
                  <c:v>2.407921022067363</c:v>
                </c:pt>
                <c:pt idx="40">
                  <c:v>2.407921022067363</c:v>
                </c:pt>
                <c:pt idx="41">
                  <c:v>2.407921022067363</c:v>
                </c:pt>
                <c:pt idx="43">
                  <c:v>4.043333333333333</c:v>
                </c:pt>
                <c:pt idx="44">
                  <c:v>4.043333333333333</c:v>
                </c:pt>
                <c:pt idx="45">
                  <c:v>4.043333333333333</c:v>
                </c:pt>
                <c:pt idx="46">
                  <c:v>4.043333333333333</c:v>
                </c:pt>
                <c:pt idx="47">
                  <c:v>4.043333333333333</c:v>
                </c:pt>
                <c:pt idx="48">
                  <c:v>4.043333333333333</c:v>
                </c:pt>
                <c:pt idx="49">
                  <c:v>4.043333333333333</c:v>
                </c:pt>
                <c:pt idx="50">
                  <c:v>4.043333333333333</c:v>
                </c:pt>
                <c:pt idx="51">
                  <c:v>4.043333333333333</c:v>
                </c:pt>
                <c:pt idx="52">
                  <c:v>4.043333333333333</c:v>
                </c:pt>
                <c:pt idx="53">
                  <c:v>4.043333333333333</c:v>
                </c:pt>
                <c:pt idx="54">
                  <c:v>4.043333333333333</c:v>
                </c:pt>
                <c:pt idx="55">
                  <c:v>4.043333333333333</c:v>
                </c:pt>
                <c:pt idx="56">
                  <c:v>4.043333333333333</c:v>
                </c:pt>
                <c:pt idx="57">
                  <c:v>4.043333333333333</c:v>
                </c:pt>
                <c:pt idx="58">
                  <c:v>4.043333333333333</c:v>
                </c:pt>
                <c:pt idx="59">
                  <c:v>4.043333333333333</c:v>
                </c:pt>
                <c:pt idx="60">
                  <c:v>4.043333333333333</c:v>
                </c:pt>
                <c:pt idx="61">
                  <c:v>4.043333333333333</c:v>
                </c:pt>
                <c:pt idx="62">
                  <c:v>4.043333333333333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(days)'!$I$1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(days)'!$I$2:$I$64</c:f>
              <c:numCache>
                <c:formatCode>0.0</c:formatCode>
                <c:ptCount val="63"/>
                <c:pt idx="0">
                  <c:v>-1.852404181184669</c:v>
                </c:pt>
                <c:pt idx="1">
                  <c:v>-1.852404181184669</c:v>
                </c:pt>
                <c:pt idx="2">
                  <c:v>-1.852404181184669</c:v>
                </c:pt>
                <c:pt idx="3">
                  <c:v>-1.852404181184669</c:v>
                </c:pt>
                <c:pt idx="4">
                  <c:v>-1.852404181184669</c:v>
                </c:pt>
                <c:pt idx="5">
                  <c:v>-1.852404181184669</c:v>
                </c:pt>
                <c:pt idx="6">
                  <c:v>-1.852404181184669</c:v>
                </c:pt>
                <c:pt idx="7">
                  <c:v>-1.852404181184669</c:v>
                </c:pt>
                <c:pt idx="8">
                  <c:v>-1.852404181184669</c:v>
                </c:pt>
                <c:pt idx="9">
                  <c:v>-1.852404181184669</c:v>
                </c:pt>
                <c:pt idx="10">
                  <c:v>-1.852404181184669</c:v>
                </c:pt>
                <c:pt idx="11">
                  <c:v>-1.852404181184669</c:v>
                </c:pt>
                <c:pt idx="12">
                  <c:v>-1.852404181184669</c:v>
                </c:pt>
                <c:pt idx="13">
                  <c:v>-1.852404181184669</c:v>
                </c:pt>
                <c:pt idx="14">
                  <c:v>-1.852404181184669</c:v>
                </c:pt>
                <c:pt idx="15">
                  <c:v>-1.852404181184669</c:v>
                </c:pt>
                <c:pt idx="16">
                  <c:v>-1.852404181184669</c:v>
                </c:pt>
                <c:pt idx="17">
                  <c:v>-1.852404181184669</c:v>
                </c:pt>
                <c:pt idx="18">
                  <c:v>-1.852404181184669</c:v>
                </c:pt>
                <c:pt idx="19">
                  <c:v>-1.852404181184669</c:v>
                </c:pt>
                <c:pt idx="20">
                  <c:v>-1.852404181184669</c:v>
                </c:pt>
                <c:pt idx="21">
                  <c:v>-1.852404181184669</c:v>
                </c:pt>
                <c:pt idx="22">
                  <c:v>-1.852404181184669</c:v>
                </c:pt>
                <c:pt idx="23">
                  <c:v>-1.852404181184669</c:v>
                </c:pt>
                <c:pt idx="24">
                  <c:v>-1.852404181184669</c:v>
                </c:pt>
                <c:pt idx="25">
                  <c:v>-1.852404181184669</c:v>
                </c:pt>
                <c:pt idx="26">
                  <c:v>-1.852404181184669</c:v>
                </c:pt>
                <c:pt idx="27">
                  <c:v>-1.852404181184669</c:v>
                </c:pt>
                <c:pt idx="28">
                  <c:v>-1.852404181184669</c:v>
                </c:pt>
                <c:pt idx="29">
                  <c:v>-1.852404181184669</c:v>
                </c:pt>
                <c:pt idx="30">
                  <c:v>-1.852404181184669</c:v>
                </c:pt>
                <c:pt idx="31">
                  <c:v>-1.852404181184669</c:v>
                </c:pt>
                <c:pt idx="32">
                  <c:v>-1.852404181184669</c:v>
                </c:pt>
                <c:pt idx="33">
                  <c:v>-1.852404181184669</c:v>
                </c:pt>
                <c:pt idx="34">
                  <c:v>-1.852404181184669</c:v>
                </c:pt>
                <c:pt idx="35">
                  <c:v>-1.852404181184669</c:v>
                </c:pt>
                <c:pt idx="36">
                  <c:v>-1.852404181184669</c:v>
                </c:pt>
                <c:pt idx="37">
                  <c:v>-1.852404181184669</c:v>
                </c:pt>
                <c:pt idx="38">
                  <c:v>-1.852404181184669</c:v>
                </c:pt>
                <c:pt idx="39">
                  <c:v>-1.852404181184669</c:v>
                </c:pt>
                <c:pt idx="40">
                  <c:v>-1.852404181184669</c:v>
                </c:pt>
                <c:pt idx="41">
                  <c:v>-1.852404181184669</c:v>
                </c:pt>
                <c:pt idx="43">
                  <c:v>1.9900000000000002</c:v>
                </c:pt>
                <c:pt idx="44">
                  <c:v>1.9900000000000002</c:v>
                </c:pt>
                <c:pt idx="45">
                  <c:v>1.9900000000000002</c:v>
                </c:pt>
                <c:pt idx="46">
                  <c:v>1.9900000000000002</c:v>
                </c:pt>
                <c:pt idx="47">
                  <c:v>1.9900000000000002</c:v>
                </c:pt>
                <c:pt idx="48">
                  <c:v>1.9900000000000002</c:v>
                </c:pt>
                <c:pt idx="49">
                  <c:v>1.9900000000000002</c:v>
                </c:pt>
                <c:pt idx="50">
                  <c:v>1.9900000000000002</c:v>
                </c:pt>
                <c:pt idx="51">
                  <c:v>1.9900000000000002</c:v>
                </c:pt>
                <c:pt idx="52">
                  <c:v>1.9900000000000002</c:v>
                </c:pt>
                <c:pt idx="53">
                  <c:v>1.9900000000000002</c:v>
                </c:pt>
                <c:pt idx="54">
                  <c:v>1.9900000000000002</c:v>
                </c:pt>
                <c:pt idx="55">
                  <c:v>1.9900000000000002</c:v>
                </c:pt>
                <c:pt idx="56">
                  <c:v>1.9900000000000002</c:v>
                </c:pt>
                <c:pt idx="57">
                  <c:v>1.9900000000000002</c:v>
                </c:pt>
                <c:pt idx="58">
                  <c:v>1.9900000000000002</c:v>
                </c:pt>
                <c:pt idx="59">
                  <c:v>1.9900000000000002</c:v>
                </c:pt>
                <c:pt idx="60">
                  <c:v>1.9900000000000002</c:v>
                </c:pt>
                <c:pt idx="61">
                  <c:v>1.9900000000000002</c:v>
                </c:pt>
                <c:pt idx="62">
                  <c:v>1.9900000000000002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716672"/>
        <c:axId val="202718208"/>
      </c:lineChart>
      <c:catAx>
        <c:axId val="20271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202718208"/>
        <c:crossesAt val="-5"/>
        <c:auto val="0"/>
        <c:lblAlgn val="ctr"/>
        <c:lblOffset val="100"/>
        <c:noMultiLvlLbl val="0"/>
      </c:catAx>
      <c:valAx>
        <c:axId val="20271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Length of stay (days)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2027166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(days)'!$K$1</c:f>
              <c:strCache>
                <c:ptCount val="1"/>
                <c:pt idx="0">
                  <c:v>Range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6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7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54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9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60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61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62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(days)'!$K$2:$K$64</c:f>
              <c:numCache>
                <c:formatCode>0.0</c:formatCode>
                <c:ptCount val="63"/>
                <c:pt idx="1">
                  <c:v>3</c:v>
                </c:pt>
                <c:pt idx="2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5</c:v>
                </c:pt>
                <c:pt idx="13">
                  <c:v>11</c:v>
                </c:pt>
                <c:pt idx="14">
                  <c:v>1</c:v>
                </c:pt>
                <c:pt idx="15">
                  <c:v>14</c:v>
                </c:pt>
                <c:pt idx="16">
                  <c:v>2</c:v>
                </c:pt>
                <c:pt idx="17">
                  <c:v>3</c:v>
                </c:pt>
                <c:pt idx="18">
                  <c:v>8</c:v>
                </c:pt>
                <c:pt idx="19">
                  <c:v>7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0</c:v>
                </c:pt>
                <c:pt idx="30">
                  <c:v>11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12</c:v>
                </c:pt>
                <c:pt idx="39">
                  <c:v>15</c:v>
                </c:pt>
                <c:pt idx="40">
                  <c:v>2</c:v>
                </c:pt>
                <c:pt idx="41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4</c:v>
                </c:pt>
                <c:pt idx="52">
                  <c:v>2</c:v>
                </c:pt>
                <c:pt idx="53">
                  <c:v>8</c:v>
                </c:pt>
                <c:pt idx="54">
                  <c:v>10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(days)'!$L$1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690673103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925035493924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(days)'!$L$2:$L$64</c:f>
              <c:numCache>
                <c:formatCode>0.0</c:formatCode>
                <c:ptCount val="63"/>
                <c:pt idx="1">
                  <c:v>15.697536585365853</c:v>
                </c:pt>
                <c:pt idx="2">
                  <c:v>15.697536585365853</c:v>
                </c:pt>
                <c:pt idx="3">
                  <c:v>15.697536585365853</c:v>
                </c:pt>
                <c:pt idx="4">
                  <c:v>15.697536585365853</c:v>
                </c:pt>
                <c:pt idx="5">
                  <c:v>15.697536585365853</c:v>
                </c:pt>
                <c:pt idx="6">
                  <c:v>15.697536585365853</c:v>
                </c:pt>
                <c:pt idx="7">
                  <c:v>15.697536585365853</c:v>
                </c:pt>
                <c:pt idx="8">
                  <c:v>15.697536585365853</c:v>
                </c:pt>
                <c:pt idx="9">
                  <c:v>15.697536585365853</c:v>
                </c:pt>
                <c:pt idx="10">
                  <c:v>15.697536585365853</c:v>
                </c:pt>
                <c:pt idx="11">
                  <c:v>15.697536585365853</c:v>
                </c:pt>
                <c:pt idx="12">
                  <c:v>15.697536585365853</c:v>
                </c:pt>
                <c:pt idx="13">
                  <c:v>15.697536585365853</c:v>
                </c:pt>
                <c:pt idx="14">
                  <c:v>15.697536585365853</c:v>
                </c:pt>
                <c:pt idx="15">
                  <c:v>15.697536585365853</c:v>
                </c:pt>
                <c:pt idx="16">
                  <c:v>15.697536585365853</c:v>
                </c:pt>
                <c:pt idx="17">
                  <c:v>15.697536585365853</c:v>
                </c:pt>
                <c:pt idx="18">
                  <c:v>15.697536585365853</c:v>
                </c:pt>
                <c:pt idx="19">
                  <c:v>15.697536585365853</c:v>
                </c:pt>
                <c:pt idx="20">
                  <c:v>15.697536585365853</c:v>
                </c:pt>
                <c:pt idx="21">
                  <c:v>15.697536585365853</c:v>
                </c:pt>
                <c:pt idx="22">
                  <c:v>15.697536585365853</c:v>
                </c:pt>
                <c:pt idx="23">
                  <c:v>15.697536585365853</c:v>
                </c:pt>
                <c:pt idx="24">
                  <c:v>15.697536585365853</c:v>
                </c:pt>
                <c:pt idx="25">
                  <c:v>15.697536585365853</c:v>
                </c:pt>
                <c:pt idx="26">
                  <c:v>15.697536585365853</c:v>
                </c:pt>
                <c:pt idx="27">
                  <c:v>15.697536585365853</c:v>
                </c:pt>
                <c:pt idx="28">
                  <c:v>15.697536585365853</c:v>
                </c:pt>
                <c:pt idx="29">
                  <c:v>15.697536585365853</c:v>
                </c:pt>
                <c:pt idx="30">
                  <c:v>15.697536585365853</c:v>
                </c:pt>
                <c:pt idx="31">
                  <c:v>15.697536585365853</c:v>
                </c:pt>
                <c:pt idx="32">
                  <c:v>15.697536585365853</c:v>
                </c:pt>
                <c:pt idx="33">
                  <c:v>15.697536585365853</c:v>
                </c:pt>
                <c:pt idx="34">
                  <c:v>15.697536585365853</c:v>
                </c:pt>
                <c:pt idx="35">
                  <c:v>15.697536585365853</c:v>
                </c:pt>
                <c:pt idx="36">
                  <c:v>15.697536585365853</c:v>
                </c:pt>
                <c:pt idx="37">
                  <c:v>15.697536585365853</c:v>
                </c:pt>
                <c:pt idx="38">
                  <c:v>15.697536585365853</c:v>
                </c:pt>
                <c:pt idx="39">
                  <c:v>15.697536585365853</c:v>
                </c:pt>
                <c:pt idx="40">
                  <c:v>15.697536585365853</c:v>
                </c:pt>
                <c:pt idx="41">
                  <c:v>15.697536585365853</c:v>
                </c:pt>
                <c:pt idx="43">
                  <c:v>7.5656842105263156</c:v>
                </c:pt>
                <c:pt idx="44">
                  <c:v>7.5656842105263156</c:v>
                </c:pt>
                <c:pt idx="45">
                  <c:v>7.5656842105263156</c:v>
                </c:pt>
                <c:pt idx="46">
                  <c:v>7.5656842105263156</c:v>
                </c:pt>
                <c:pt idx="47">
                  <c:v>7.5656842105263156</c:v>
                </c:pt>
                <c:pt idx="48">
                  <c:v>7.5656842105263156</c:v>
                </c:pt>
                <c:pt idx="49">
                  <c:v>7.5656842105263156</c:v>
                </c:pt>
                <c:pt idx="50">
                  <c:v>7.5656842105263156</c:v>
                </c:pt>
                <c:pt idx="51">
                  <c:v>7.5656842105263156</c:v>
                </c:pt>
                <c:pt idx="52">
                  <c:v>7.5656842105263156</c:v>
                </c:pt>
                <c:pt idx="53">
                  <c:v>7.5656842105263156</c:v>
                </c:pt>
                <c:pt idx="54">
                  <c:v>7.5656842105263156</c:v>
                </c:pt>
                <c:pt idx="55">
                  <c:v>7.5656842105263156</c:v>
                </c:pt>
                <c:pt idx="56">
                  <c:v>7.5656842105263156</c:v>
                </c:pt>
                <c:pt idx="57">
                  <c:v>7.5656842105263156</c:v>
                </c:pt>
                <c:pt idx="58">
                  <c:v>7.5656842105263156</c:v>
                </c:pt>
                <c:pt idx="59">
                  <c:v>7.5656842105263156</c:v>
                </c:pt>
                <c:pt idx="60">
                  <c:v>7.5656842105263156</c:v>
                </c:pt>
                <c:pt idx="61">
                  <c:v>7.5656842105263156</c:v>
                </c:pt>
                <c:pt idx="62">
                  <c:v>7.5656842105263156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(days)'!$M$1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(days)'!$M$2:$M$64</c:f>
              <c:numCache>
                <c:formatCode>0.0</c:formatCode>
                <c:ptCount val="63"/>
                <c:pt idx="1">
                  <c:v>12.066650406504063</c:v>
                </c:pt>
                <c:pt idx="2">
                  <c:v>12.066650406504063</c:v>
                </c:pt>
                <c:pt idx="3">
                  <c:v>12.066650406504063</c:v>
                </c:pt>
                <c:pt idx="4">
                  <c:v>12.066650406504063</c:v>
                </c:pt>
                <c:pt idx="5">
                  <c:v>12.066650406504063</c:v>
                </c:pt>
                <c:pt idx="6">
                  <c:v>12.066650406504063</c:v>
                </c:pt>
                <c:pt idx="7">
                  <c:v>12.066650406504063</c:v>
                </c:pt>
                <c:pt idx="8">
                  <c:v>12.066650406504063</c:v>
                </c:pt>
                <c:pt idx="9">
                  <c:v>12.066650406504063</c:v>
                </c:pt>
                <c:pt idx="10">
                  <c:v>12.066650406504063</c:v>
                </c:pt>
                <c:pt idx="11">
                  <c:v>12.066650406504063</c:v>
                </c:pt>
                <c:pt idx="12">
                  <c:v>12.066650406504063</c:v>
                </c:pt>
                <c:pt idx="13">
                  <c:v>12.066650406504063</c:v>
                </c:pt>
                <c:pt idx="14">
                  <c:v>12.066650406504063</c:v>
                </c:pt>
                <c:pt idx="15">
                  <c:v>12.066650406504063</c:v>
                </c:pt>
                <c:pt idx="16">
                  <c:v>12.066650406504063</c:v>
                </c:pt>
                <c:pt idx="17">
                  <c:v>12.066650406504063</c:v>
                </c:pt>
                <c:pt idx="18">
                  <c:v>12.066650406504063</c:v>
                </c:pt>
                <c:pt idx="19">
                  <c:v>12.066650406504063</c:v>
                </c:pt>
                <c:pt idx="20">
                  <c:v>12.066650406504063</c:v>
                </c:pt>
                <c:pt idx="21">
                  <c:v>12.066650406504063</c:v>
                </c:pt>
                <c:pt idx="22">
                  <c:v>12.066650406504063</c:v>
                </c:pt>
                <c:pt idx="23">
                  <c:v>12.066650406504063</c:v>
                </c:pt>
                <c:pt idx="24">
                  <c:v>12.066650406504063</c:v>
                </c:pt>
                <c:pt idx="25">
                  <c:v>12.066650406504063</c:v>
                </c:pt>
                <c:pt idx="26">
                  <c:v>12.066650406504063</c:v>
                </c:pt>
                <c:pt idx="27">
                  <c:v>12.066650406504063</c:v>
                </c:pt>
                <c:pt idx="28">
                  <c:v>12.066650406504063</c:v>
                </c:pt>
                <c:pt idx="29">
                  <c:v>12.066650406504063</c:v>
                </c:pt>
                <c:pt idx="30">
                  <c:v>12.066650406504063</c:v>
                </c:pt>
                <c:pt idx="31">
                  <c:v>12.066650406504063</c:v>
                </c:pt>
                <c:pt idx="32">
                  <c:v>12.066650406504063</c:v>
                </c:pt>
                <c:pt idx="33">
                  <c:v>12.066650406504063</c:v>
                </c:pt>
                <c:pt idx="34">
                  <c:v>12.066650406504063</c:v>
                </c:pt>
                <c:pt idx="35">
                  <c:v>12.066650406504063</c:v>
                </c:pt>
                <c:pt idx="36">
                  <c:v>12.066650406504063</c:v>
                </c:pt>
                <c:pt idx="37">
                  <c:v>12.066650406504063</c:v>
                </c:pt>
                <c:pt idx="38">
                  <c:v>12.066650406504063</c:v>
                </c:pt>
                <c:pt idx="39">
                  <c:v>12.066650406504063</c:v>
                </c:pt>
                <c:pt idx="40">
                  <c:v>12.066650406504063</c:v>
                </c:pt>
                <c:pt idx="41">
                  <c:v>12.066650406504063</c:v>
                </c:pt>
                <c:pt idx="43">
                  <c:v>5.8157192982456136</c:v>
                </c:pt>
                <c:pt idx="44">
                  <c:v>5.8157192982456136</c:v>
                </c:pt>
                <c:pt idx="45">
                  <c:v>5.8157192982456136</c:v>
                </c:pt>
                <c:pt idx="46">
                  <c:v>5.8157192982456136</c:v>
                </c:pt>
                <c:pt idx="47">
                  <c:v>5.8157192982456136</c:v>
                </c:pt>
                <c:pt idx="48">
                  <c:v>5.8157192982456136</c:v>
                </c:pt>
                <c:pt idx="49">
                  <c:v>5.8157192982456136</c:v>
                </c:pt>
                <c:pt idx="50">
                  <c:v>5.8157192982456136</c:v>
                </c:pt>
                <c:pt idx="51">
                  <c:v>5.8157192982456136</c:v>
                </c:pt>
                <c:pt idx="52">
                  <c:v>5.8157192982456136</c:v>
                </c:pt>
                <c:pt idx="53">
                  <c:v>5.8157192982456136</c:v>
                </c:pt>
                <c:pt idx="54">
                  <c:v>5.8157192982456136</c:v>
                </c:pt>
                <c:pt idx="55">
                  <c:v>5.8157192982456136</c:v>
                </c:pt>
                <c:pt idx="56">
                  <c:v>5.8157192982456136</c:v>
                </c:pt>
                <c:pt idx="57">
                  <c:v>5.8157192982456136</c:v>
                </c:pt>
                <c:pt idx="58">
                  <c:v>5.8157192982456136</c:v>
                </c:pt>
                <c:pt idx="59">
                  <c:v>5.8157192982456136</c:v>
                </c:pt>
                <c:pt idx="60">
                  <c:v>5.8157192982456136</c:v>
                </c:pt>
                <c:pt idx="61">
                  <c:v>5.8157192982456136</c:v>
                </c:pt>
                <c:pt idx="62">
                  <c:v>5.8157192982456136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(days)'!$N$1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(days)'!$N$2:$N$64</c:f>
              <c:numCache>
                <c:formatCode>0.0</c:formatCode>
                <c:ptCount val="63"/>
                <c:pt idx="1">
                  <c:v>8.4357642276422755</c:v>
                </c:pt>
                <c:pt idx="2">
                  <c:v>8.4357642276422755</c:v>
                </c:pt>
                <c:pt idx="3">
                  <c:v>8.4357642276422755</c:v>
                </c:pt>
                <c:pt idx="4">
                  <c:v>8.4357642276422755</c:v>
                </c:pt>
                <c:pt idx="5">
                  <c:v>8.4357642276422755</c:v>
                </c:pt>
                <c:pt idx="6">
                  <c:v>8.4357642276422755</c:v>
                </c:pt>
                <c:pt idx="7">
                  <c:v>8.4357642276422755</c:v>
                </c:pt>
                <c:pt idx="8">
                  <c:v>8.4357642276422755</c:v>
                </c:pt>
                <c:pt idx="9">
                  <c:v>8.4357642276422755</c:v>
                </c:pt>
                <c:pt idx="10">
                  <c:v>8.4357642276422755</c:v>
                </c:pt>
                <c:pt idx="11">
                  <c:v>8.4357642276422755</c:v>
                </c:pt>
                <c:pt idx="12">
                  <c:v>8.4357642276422755</c:v>
                </c:pt>
                <c:pt idx="13">
                  <c:v>8.4357642276422755</c:v>
                </c:pt>
                <c:pt idx="14">
                  <c:v>8.4357642276422755</c:v>
                </c:pt>
                <c:pt idx="15">
                  <c:v>8.4357642276422755</c:v>
                </c:pt>
                <c:pt idx="16">
                  <c:v>8.4357642276422755</c:v>
                </c:pt>
                <c:pt idx="17">
                  <c:v>8.4357642276422755</c:v>
                </c:pt>
                <c:pt idx="18">
                  <c:v>8.4357642276422755</c:v>
                </c:pt>
                <c:pt idx="19">
                  <c:v>8.4357642276422755</c:v>
                </c:pt>
                <c:pt idx="20">
                  <c:v>8.4357642276422755</c:v>
                </c:pt>
                <c:pt idx="21">
                  <c:v>8.4357642276422755</c:v>
                </c:pt>
                <c:pt idx="22">
                  <c:v>8.4357642276422755</c:v>
                </c:pt>
                <c:pt idx="23">
                  <c:v>8.4357642276422755</c:v>
                </c:pt>
                <c:pt idx="24">
                  <c:v>8.4357642276422755</c:v>
                </c:pt>
                <c:pt idx="25">
                  <c:v>8.4357642276422755</c:v>
                </c:pt>
                <c:pt idx="26">
                  <c:v>8.4357642276422755</c:v>
                </c:pt>
                <c:pt idx="27">
                  <c:v>8.4357642276422755</c:v>
                </c:pt>
                <c:pt idx="28">
                  <c:v>8.4357642276422755</c:v>
                </c:pt>
                <c:pt idx="29">
                  <c:v>8.4357642276422755</c:v>
                </c:pt>
                <c:pt idx="30">
                  <c:v>8.4357642276422755</c:v>
                </c:pt>
                <c:pt idx="31">
                  <c:v>8.4357642276422755</c:v>
                </c:pt>
                <c:pt idx="32">
                  <c:v>8.4357642276422755</c:v>
                </c:pt>
                <c:pt idx="33">
                  <c:v>8.4357642276422755</c:v>
                </c:pt>
                <c:pt idx="34">
                  <c:v>8.4357642276422755</c:v>
                </c:pt>
                <c:pt idx="35">
                  <c:v>8.4357642276422755</c:v>
                </c:pt>
                <c:pt idx="36">
                  <c:v>8.4357642276422755</c:v>
                </c:pt>
                <c:pt idx="37">
                  <c:v>8.4357642276422755</c:v>
                </c:pt>
                <c:pt idx="38">
                  <c:v>8.4357642276422755</c:v>
                </c:pt>
                <c:pt idx="39">
                  <c:v>8.4357642276422755</c:v>
                </c:pt>
                <c:pt idx="40">
                  <c:v>8.4357642276422755</c:v>
                </c:pt>
                <c:pt idx="41">
                  <c:v>8.4357642276422755</c:v>
                </c:pt>
                <c:pt idx="43">
                  <c:v>4.0657543859649117</c:v>
                </c:pt>
                <c:pt idx="44">
                  <c:v>4.0657543859649117</c:v>
                </c:pt>
                <c:pt idx="45">
                  <c:v>4.0657543859649117</c:v>
                </c:pt>
                <c:pt idx="46">
                  <c:v>4.0657543859649117</c:v>
                </c:pt>
                <c:pt idx="47">
                  <c:v>4.0657543859649117</c:v>
                </c:pt>
                <c:pt idx="48">
                  <c:v>4.0657543859649117</c:v>
                </c:pt>
                <c:pt idx="49">
                  <c:v>4.0657543859649117</c:v>
                </c:pt>
                <c:pt idx="50">
                  <c:v>4.0657543859649117</c:v>
                </c:pt>
                <c:pt idx="51">
                  <c:v>4.0657543859649117</c:v>
                </c:pt>
                <c:pt idx="52">
                  <c:v>4.0657543859649117</c:v>
                </c:pt>
                <c:pt idx="53">
                  <c:v>4.0657543859649117</c:v>
                </c:pt>
                <c:pt idx="54">
                  <c:v>4.0657543859649117</c:v>
                </c:pt>
                <c:pt idx="55">
                  <c:v>4.0657543859649117</c:v>
                </c:pt>
                <c:pt idx="56">
                  <c:v>4.0657543859649117</c:v>
                </c:pt>
                <c:pt idx="57">
                  <c:v>4.0657543859649117</c:v>
                </c:pt>
                <c:pt idx="58">
                  <c:v>4.0657543859649117</c:v>
                </c:pt>
                <c:pt idx="59">
                  <c:v>4.0657543859649117</c:v>
                </c:pt>
                <c:pt idx="60">
                  <c:v>4.0657543859649117</c:v>
                </c:pt>
                <c:pt idx="61">
                  <c:v>4.0657543859649117</c:v>
                </c:pt>
                <c:pt idx="62">
                  <c:v>4.0657543859649117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(days)'!$O$1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(days)'!$O$2:$O$64</c:f>
              <c:numCache>
                <c:formatCode>0.0</c:formatCode>
                <c:ptCount val="63"/>
                <c:pt idx="0">
                  <c:v>4.8048780487804876</c:v>
                </c:pt>
                <c:pt idx="1">
                  <c:v>4.8048780487804876</c:v>
                </c:pt>
                <c:pt idx="2">
                  <c:v>4.8048780487804876</c:v>
                </c:pt>
                <c:pt idx="3">
                  <c:v>4.8048780487804876</c:v>
                </c:pt>
                <c:pt idx="4">
                  <c:v>4.8048780487804876</c:v>
                </c:pt>
                <c:pt idx="5">
                  <c:v>4.8048780487804876</c:v>
                </c:pt>
                <c:pt idx="6">
                  <c:v>4.8048780487804876</c:v>
                </c:pt>
                <c:pt idx="7">
                  <c:v>4.8048780487804876</c:v>
                </c:pt>
                <c:pt idx="8">
                  <c:v>4.8048780487804876</c:v>
                </c:pt>
                <c:pt idx="9">
                  <c:v>4.8048780487804876</c:v>
                </c:pt>
                <c:pt idx="10">
                  <c:v>4.8048780487804876</c:v>
                </c:pt>
                <c:pt idx="11">
                  <c:v>4.8048780487804876</c:v>
                </c:pt>
                <c:pt idx="12">
                  <c:v>4.8048780487804876</c:v>
                </c:pt>
                <c:pt idx="13">
                  <c:v>4.8048780487804876</c:v>
                </c:pt>
                <c:pt idx="14">
                  <c:v>4.8048780487804876</c:v>
                </c:pt>
                <c:pt idx="15">
                  <c:v>4.8048780487804876</c:v>
                </c:pt>
                <c:pt idx="16">
                  <c:v>4.8048780487804876</c:v>
                </c:pt>
                <c:pt idx="17">
                  <c:v>4.8048780487804876</c:v>
                </c:pt>
                <c:pt idx="18">
                  <c:v>4.8048780487804876</c:v>
                </c:pt>
                <c:pt idx="19">
                  <c:v>4.8048780487804876</c:v>
                </c:pt>
                <c:pt idx="20">
                  <c:v>4.8048780487804876</c:v>
                </c:pt>
                <c:pt idx="21">
                  <c:v>4.8048780487804876</c:v>
                </c:pt>
                <c:pt idx="22">
                  <c:v>4.8048780487804876</c:v>
                </c:pt>
                <c:pt idx="23">
                  <c:v>4.8048780487804876</c:v>
                </c:pt>
                <c:pt idx="24">
                  <c:v>4.8048780487804876</c:v>
                </c:pt>
                <c:pt idx="25">
                  <c:v>4.8048780487804876</c:v>
                </c:pt>
                <c:pt idx="26">
                  <c:v>4.8048780487804876</c:v>
                </c:pt>
                <c:pt idx="27">
                  <c:v>4.8048780487804876</c:v>
                </c:pt>
                <c:pt idx="28">
                  <c:v>4.8048780487804876</c:v>
                </c:pt>
                <c:pt idx="29">
                  <c:v>4.8048780487804876</c:v>
                </c:pt>
                <c:pt idx="30">
                  <c:v>4.8048780487804876</c:v>
                </c:pt>
                <c:pt idx="31">
                  <c:v>4.8048780487804876</c:v>
                </c:pt>
                <c:pt idx="32">
                  <c:v>4.8048780487804876</c:v>
                </c:pt>
                <c:pt idx="33">
                  <c:v>4.8048780487804876</c:v>
                </c:pt>
                <c:pt idx="34">
                  <c:v>4.8048780487804876</c:v>
                </c:pt>
                <c:pt idx="35">
                  <c:v>4.8048780487804876</c:v>
                </c:pt>
                <c:pt idx="36">
                  <c:v>4.8048780487804876</c:v>
                </c:pt>
                <c:pt idx="37">
                  <c:v>4.8048780487804876</c:v>
                </c:pt>
                <c:pt idx="38">
                  <c:v>4.8048780487804876</c:v>
                </c:pt>
                <c:pt idx="39">
                  <c:v>4.8048780487804876</c:v>
                </c:pt>
                <c:pt idx="40">
                  <c:v>4.8048780487804876</c:v>
                </c:pt>
                <c:pt idx="41">
                  <c:v>4.8048780487804876</c:v>
                </c:pt>
                <c:pt idx="43">
                  <c:v>2.3157894736842106</c:v>
                </c:pt>
                <c:pt idx="44">
                  <c:v>2.3157894736842106</c:v>
                </c:pt>
                <c:pt idx="45">
                  <c:v>2.3157894736842106</c:v>
                </c:pt>
                <c:pt idx="46">
                  <c:v>2.3157894736842106</c:v>
                </c:pt>
                <c:pt idx="47">
                  <c:v>2.3157894736842106</c:v>
                </c:pt>
                <c:pt idx="48">
                  <c:v>2.3157894736842106</c:v>
                </c:pt>
                <c:pt idx="49">
                  <c:v>2.3157894736842106</c:v>
                </c:pt>
                <c:pt idx="50">
                  <c:v>2.3157894736842106</c:v>
                </c:pt>
                <c:pt idx="51">
                  <c:v>2.3157894736842106</c:v>
                </c:pt>
                <c:pt idx="52">
                  <c:v>2.3157894736842106</c:v>
                </c:pt>
                <c:pt idx="53">
                  <c:v>2.3157894736842106</c:v>
                </c:pt>
                <c:pt idx="54">
                  <c:v>2.3157894736842106</c:v>
                </c:pt>
                <c:pt idx="55">
                  <c:v>2.3157894736842106</c:v>
                </c:pt>
                <c:pt idx="56">
                  <c:v>2.3157894736842106</c:v>
                </c:pt>
                <c:pt idx="57">
                  <c:v>2.3157894736842106</c:v>
                </c:pt>
                <c:pt idx="58">
                  <c:v>2.3157894736842106</c:v>
                </c:pt>
                <c:pt idx="59">
                  <c:v>2.3157894736842106</c:v>
                </c:pt>
                <c:pt idx="60">
                  <c:v>2.3157894736842106</c:v>
                </c:pt>
                <c:pt idx="61">
                  <c:v>2.3157894736842106</c:v>
                </c:pt>
                <c:pt idx="62">
                  <c:v>2.3157894736842106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(days)'!$P$1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(days)'!$P$2:$P$64</c:f>
              <c:numCache>
                <c:formatCode>0.0</c:formatCode>
                <c:ptCount val="63"/>
                <c:pt idx="1">
                  <c:v>1.1739918699186993</c:v>
                </c:pt>
                <c:pt idx="2">
                  <c:v>1.1739918699186993</c:v>
                </c:pt>
                <c:pt idx="3">
                  <c:v>1.1739918699186993</c:v>
                </c:pt>
                <c:pt idx="4">
                  <c:v>1.1739918699186993</c:v>
                </c:pt>
                <c:pt idx="5">
                  <c:v>1.1739918699186993</c:v>
                </c:pt>
                <c:pt idx="6">
                  <c:v>1.1739918699186993</c:v>
                </c:pt>
                <c:pt idx="7">
                  <c:v>1.1739918699186993</c:v>
                </c:pt>
                <c:pt idx="8">
                  <c:v>1.1739918699186993</c:v>
                </c:pt>
                <c:pt idx="9">
                  <c:v>1.1739918699186993</c:v>
                </c:pt>
                <c:pt idx="10">
                  <c:v>1.1739918699186993</c:v>
                </c:pt>
                <c:pt idx="11">
                  <c:v>1.1739918699186993</c:v>
                </c:pt>
                <c:pt idx="12">
                  <c:v>1.1739918699186993</c:v>
                </c:pt>
                <c:pt idx="13">
                  <c:v>1.1739918699186993</c:v>
                </c:pt>
                <c:pt idx="14">
                  <c:v>1.1739918699186993</c:v>
                </c:pt>
                <c:pt idx="15">
                  <c:v>1.1739918699186993</c:v>
                </c:pt>
                <c:pt idx="16">
                  <c:v>1.1739918699186993</c:v>
                </c:pt>
                <c:pt idx="17">
                  <c:v>1.1739918699186993</c:v>
                </c:pt>
                <c:pt idx="18">
                  <c:v>1.1739918699186993</c:v>
                </c:pt>
                <c:pt idx="19">
                  <c:v>1.1739918699186993</c:v>
                </c:pt>
                <c:pt idx="20">
                  <c:v>1.1739918699186993</c:v>
                </c:pt>
                <c:pt idx="21">
                  <c:v>1.1739918699186993</c:v>
                </c:pt>
                <c:pt idx="22">
                  <c:v>1.1739918699186993</c:v>
                </c:pt>
                <c:pt idx="23">
                  <c:v>1.1739918699186993</c:v>
                </c:pt>
                <c:pt idx="24">
                  <c:v>1.1739918699186993</c:v>
                </c:pt>
                <c:pt idx="25">
                  <c:v>1.1739918699186993</c:v>
                </c:pt>
                <c:pt idx="26">
                  <c:v>1.1739918699186993</c:v>
                </c:pt>
                <c:pt idx="27">
                  <c:v>1.1739918699186993</c:v>
                </c:pt>
                <c:pt idx="28">
                  <c:v>1.1739918699186993</c:v>
                </c:pt>
                <c:pt idx="29">
                  <c:v>1.1739918699186993</c:v>
                </c:pt>
                <c:pt idx="30">
                  <c:v>1.1739918699186993</c:v>
                </c:pt>
                <c:pt idx="31">
                  <c:v>1.1739918699186993</c:v>
                </c:pt>
                <c:pt idx="32">
                  <c:v>1.1739918699186993</c:v>
                </c:pt>
                <c:pt idx="33">
                  <c:v>1.1739918699186993</c:v>
                </c:pt>
                <c:pt idx="34">
                  <c:v>1.1739918699186993</c:v>
                </c:pt>
                <c:pt idx="35">
                  <c:v>1.1739918699186993</c:v>
                </c:pt>
                <c:pt idx="36">
                  <c:v>1.1739918699186993</c:v>
                </c:pt>
                <c:pt idx="37">
                  <c:v>1.1739918699186993</c:v>
                </c:pt>
                <c:pt idx="38">
                  <c:v>1.1739918699186993</c:v>
                </c:pt>
                <c:pt idx="39">
                  <c:v>1.1739918699186993</c:v>
                </c:pt>
                <c:pt idx="40">
                  <c:v>1.1739918699186993</c:v>
                </c:pt>
                <c:pt idx="41">
                  <c:v>1.1739918699186993</c:v>
                </c:pt>
                <c:pt idx="43">
                  <c:v>0.56582456140350912</c:v>
                </c:pt>
                <c:pt idx="44">
                  <c:v>0.56582456140350912</c:v>
                </c:pt>
                <c:pt idx="45">
                  <c:v>0.56582456140350912</c:v>
                </c:pt>
                <c:pt idx="46">
                  <c:v>0.56582456140350912</c:v>
                </c:pt>
                <c:pt idx="47">
                  <c:v>0.56582456140350912</c:v>
                </c:pt>
                <c:pt idx="48">
                  <c:v>0.56582456140350912</c:v>
                </c:pt>
                <c:pt idx="49">
                  <c:v>0.56582456140350912</c:v>
                </c:pt>
                <c:pt idx="50">
                  <c:v>0.56582456140350912</c:v>
                </c:pt>
                <c:pt idx="51">
                  <c:v>0.56582456140350912</c:v>
                </c:pt>
                <c:pt idx="52">
                  <c:v>0.56582456140350912</c:v>
                </c:pt>
                <c:pt idx="53">
                  <c:v>0.56582456140350912</c:v>
                </c:pt>
                <c:pt idx="54">
                  <c:v>0.56582456140350912</c:v>
                </c:pt>
                <c:pt idx="55">
                  <c:v>0.56582456140350912</c:v>
                </c:pt>
                <c:pt idx="56">
                  <c:v>0.56582456140350912</c:v>
                </c:pt>
                <c:pt idx="57">
                  <c:v>0.56582456140350912</c:v>
                </c:pt>
                <c:pt idx="58">
                  <c:v>0.56582456140350912</c:v>
                </c:pt>
                <c:pt idx="59">
                  <c:v>0.56582456140350912</c:v>
                </c:pt>
                <c:pt idx="60">
                  <c:v>0.56582456140350912</c:v>
                </c:pt>
                <c:pt idx="61">
                  <c:v>0.56582456140350912</c:v>
                </c:pt>
                <c:pt idx="62">
                  <c:v>0.56582456140350912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(days)'!$Q$1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(days)'!$Q$2:$Q$64</c:f>
              <c:numCache>
                <c:formatCode>0.0</c:formatCode>
                <c:ptCount val="63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(days)'!$R$1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(days)'!$R$2:$R$64</c:f>
              <c:numCache>
                <c:formatCode>0.0</c:formatCode>
                <c:ptCount val="63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60864"/>
        <c:axId val="193062784"/>
      </c:lineChart>
      <c:catAx>
        <c:axId val="19306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193062784"/>
        <c:crosses val="autoZero"/>
        <c:auto val="0"/>
        <c:lblAlgn val="ctr"/>
        <c:lblOffset val="100"/>
        <c:noMultiLvlLbl val="0"/>
      </c:catAx>
      <c:valAx>
        <c:axId val="193062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93060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(days)'!$B$1</c:f>
              <c:strCache>
                <c:ptCount val="1"/>
                <c:pt idx="0">
                  <c:v>Length of stay (days)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1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14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5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(days)'!$B$2:$B$64</c:f>
              <c:numCache>
                <c:formatCode>0.0</c:formatCode>
                <c:ptCount val="63"/>
                <c:pt idx="0">
                  <c:v>12</c:v>
                </c:pt>
                <c:pt idx="1">
                  <c:v>9</c:v>
                </c:pt>
                <c:pt idx="2">
                  <c:v>8</c:v>
                </c:pt>
                <c:pt idx="3">
                  <c:v>14</c:v>
                </c:pt>
                <c:pt idx="4">
                  <c:v>9</c:v>
                </c:pt>
                <c:pt idx="5">
                  <c:v>9</c:v>
                </c:pt>
                <c:pt idx="6">
                  <c:v>22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6</c:v>
                </c:pt>
                <c:pt idx="12">
                  <c:v>11</c:v>
                </c:pt>
                <c:pt idx="13">
                  <c:v>22</c:v>
                </c:pt>
                <c:pt idx="14">
                  <c:v>21</c:v>
                </c:pt>
                <c:pt idx="15">
                  <c:v>7</c:v>
                </c:pt>
                <c:pt idx="16">
                  <c:v>9</c:v>
                </c:pt>
                <c:pt idx="17">
                  <c:v>6</c:v>
                </c:pt>
                <c:pt idx="18">
                  <c:v>14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13</c:v>
                </c:pt>
                <c:pt idx="24">
                  <c:v>14</c:v>
                </c:pt>
                <c:pt idx="25">
                  <c:v>14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7</c:v>
                </c:pt>
                <c:pt idx="30">
                  <c:v>18</c:v>
                </c:pt>
                <c:pt idx="31">
                  <c:v>10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8">
                  <c:v>21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3">
                  <c:v>7</c:v>
                </c:pt>
                <c:pt idx="44">
                  <c:v>12</c:v>
                </c:pt>
                <c:pt idx="45">
                  <c:v>7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8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17</c:v>
                </c:pt>
                <c:pt idx="54">
                  <c:v>7</c:v>
                </c:pt>
                <c:pt idx="55">
                  <c:v>6</c:v>
                </c:pt>
                <c:pt idx="56">
                  <c:v>6</c:v>
                </c:pt>
                <c:pt idx="57">
                  <c:v>9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(days)'!$C$1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(days)'!$C$2:$C$64</c:f>
              <c:numCache>
                <c:formatCode>0.0</c:formatCode>
                <c:ptCount val="63"/>
                <c:pt idx="0">
                  <c:v>23.709547038327528</c:v>
                </c:pt>
                <c:pt idx="1">
                  <c:v>23.709547038327528</c:v>
                </c:pt>
                <c:pt idx="2">
                  <c:v>23.709547038327528</c:v>
                </c:pt>
                <c:pt idx="3">
                  <c:v>23.709547038327528</c:v>
                </c:pt>
                <c:pt idx="4">
                  <c:v>23.709547038327528</c:v>
                </c:pt>
                <c:pt idx="5">
                  <c:v>23.709547038327528</c:v>
                </c:pt>
                <c:pt idx="6">
                  <c:v>23.709547038327528</c:v>
                </c:pt>
                <c:pt idx="7">
                  <c:v>23.709547038327528</c:v>
                </c:pt>
                <c:pt idx="8">
                  <c:v>23.709547038327528</c:v>
                </c:pt>
                <c:pt idx="9">
                  <c:v>23.709547038327528</c:v>
                </c:pt>
                <c:pt idx="10">
                  <c:v>23.709547038327528</c:v>
                </c:pt>
                <c:pt idx="11">
                  <c:v>23.709547038327528</c:v>
                </c:pt>
                <c:pt idx="12">
                  <c:v>23.709547038327528</c:v>
                </c:pt>
                <c:pt idx="13">
                  <c:v>23.709547038327528</c:v>
                </c:pt>
                <c:pt idx="14">
                  <c:v>23.709547038327528</c:v>
                </c:pt>
                <c:pt idx="15">
                  <c:v>23.709547038327528</c:v>
                </c:pt>
                <c:pt idx="16">
                  <c:v>23.709547038327528</c:v>
                </c:pt>
                <c:pt idx="17">
                  <c:v>23.709547038327528</c:v>
                </c:pt>
                <c:pt idx="18">
                  <c:v>23.709547038327528</c:v>
                </c:pt>
                <c:pt idx="19">
                  <c:v>23.709547038327528</c:v>
                </c:pt>
                <c:pt idx="20">
                  <c:v>23.709547038327528</c:v>
                </c:pt>
                <c:pt idx="21">
                  <c:v>23.709547038327528</c:v>
                </c:pt>
                <c:pt idx="22">
                  <c:v>23.709547038327528</c:v>
                </c:pt>
                <c:pt idx="23">
                  <c:v>23.709547038327528</c:v>
                </c:pt>
                <c:pt idx="24">
                  <c:v>23.709547038327528</c:v>
                </c:pt>
                <c:pt idx="25">
                  <c:v>23.709547038327528</c:v>
                </c:pt>
                <c:pt idx="26">
                  <c:v>23.709547038327528</c:v>
                </c:pt>
                <c:pt idx="27">
                  <c:v>23.709547038327528</c:v>
                </c:pt>
                <c:pt idx="28">
                  <c:v>23.709547038327528</c:v>
                </c:pt>
                <c:pt idx="29">
                  <c:v>23.709547038327528</c:v>
                </c:pt>
                <c:pt idx="30">
                  <c:v>23.709547038327528</c:v>
                </c:pt>
                <c:pt idx="31">
                  <c:v>23.709547038327528</c:v>
                </c:pt>
                <c:pt idx="32">
                  <c:v>23.709547038327528</c:v>
                </c:pt>
                <c:pt idx="33">
                  <c:v>23.709547038327528</c:v>
                </c:pt>
                <c:pt idx="34">
                  <c:v>23.709547038327528</c:v>
                </c:pt>
                <c:pt idx="35">
                  <c:v>23.709547038327528</c:v>
                </c:pt>
                <c:pt idx="36">
                  <c:v>23.709547038327528</c:v>
                </c:pt>
                <c:pt idx="37">
                  <c:v>23.709547038327528</c:v>
                </c:pt>
                <c:pt idx="38">
                  <c:v>23.709547038327528</c:v>
                </c:pt>
                <c:pt idx="39">
                  <c:v>23.709547038327528</c:v>
                </c:pt>
                <c:pt idx="40">
                  <c:v>23.709547038327528</c:v>
                </c:pt>
                <c:pt idx="41">
                  <c:v>23.709547038327528</c:v>
                </c:pt>
                <c:pt idx="43">
                  <c:v>14.31</c:v>
                </c:pt>
                <c:pt idx="44">
                  <c:v>14.31</c:v>
                </c:pt>
                <c:pt idx="45">
                  <c:v>14.31</c:v>
                </c:pt>
                <c:pt idx="46">
                  <c:v>14.31</c:v>
                </c:pt>
                <c:pt idx="47">
                  <c:v>14.31</c:v>
                </c:pt>
                <c:pt idx="48">
                  <c:v>14.31</c:v>
                </c:pt>
                <c:pt idx="49">
                  <c:v>14.31</c:v>
                </c:pt>
                <c:pt idx="50">
                  <c:v>14.31</c:v>
                </c:pt>
                <c:pt idx="51">
                  <c:v>14.31</c:v>
                </c:pt>
                <c:pt idx="52">
                  <c:v>14.31</c:v>
                </c:pt>
                <c:pt idx="53">
                  <c:v>14.31</c:v>
                </c:pt>
                <c:pt idx="54">
                  <c:v>14.31</c:v>
                </c:pt>
                <c:pt idx="55">
                  <c:v>14.31</c:v>
                </c:pt>
                <c:pt idx="56">
                  <c:v>14.31</c:v>
                </c:pt>
                <c:pt idx="57">
                  <c:v>14.31</c:v>
                </c:pt>
                <c:pt idx="58">
                  <c:v>14.31</c:v>
                </c:pt>
                <c:pt idx="59">
                  <c:v>14.31</c:v>
                </c:pt>
                <c:pt idx="60">
                  <c:v>14.31</c:v>
                </c:pt>
                <c:pt idx="61">
                  <c:v>14.31</c:v>
                </c:pt>
                <c:pt idx="62">
                  <c:v>14.31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(days)'!$D$1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(days)'!$D$2:$D$64</c:f>
              <c:numCache>
                <c:formatCode>0.0</c:formatCode>
                <c:ptCount val="63"/>
                <c:pt idx="0">
                  <c:v>19.449221835075495</c:v>
                </c:pt>
                <c:pt idx="1">
                  <c:v>19.449221835075495</c:v>
                </c:pt>
                <c:pt idx="2">
                  <c:v>19.449221835075495</c:v>
                </c:pt>
                <c:pt idx="3">
                  <c:v>19.449221835075495</c:v>
                </c:pt>
                <c:pt idx="4">
                  <c:v>19.449221835075495</c:v>
                </c:pt>
                <c:pt idx="5">
                  <c:v>19.449221835075495</c:v>
                </c:pt>
                <c:pt idx="6">
                  <c:v>19.449221835075495</c:v>
                </c:pt>
                <c:pt idx="7">
                  <c:v>19.449221835075495</c:v>
                </c:pt>
                <c:pt idx="8">
                  <c:v>19.449221835075495</c:v>
                </c:pt>
                <c:pt idx="9">
                  <c:v>19.449221835075495</c:v>
                </c:pt>
                <c:pt idx="10">
                  <c:v>19.449221835075495</c:v>
                </c:pt>
                <c:pt idx="11">
                  <c:v>19.449221835075495</c:v>
                </c:pt>
                <c:pt idx="12">
                  <c:v>19.449221835075495</c:v>
                </c:pt>
                <c:pt idx="13">
                  <c:v>19.449221835075495</c:v>
                </c:pt>
                <c:pt idx="14">
                  <c:v>19.449221835075495</c:v>
                </c:pt>
                <c:pt idx="15">
                  <c:v>19.449221835075495</c:v>
                </c:pt>
                <c:pt idx="16">
                  <c:v>19.449221835075495</c:v>
                </c:pt>
                <c:pt idx="17">
                  <c:v>19.449221835075495</c:v>
                </c:pt>
                <c:pt idx="18">
                  <c:v>19.449221835075495</c:v>
                </c:pt>
                <c:pt idx="19">
                  <c:v>19.449221835075495</c:v>
                </c:pt>
                <c:pt idx="20">
                  <c:v>19.449221835075495</c:v>
                </c:pt>
                <c:pt idx="21">
                  <c:v>19.449221835075495</c:v>
                </c:pt>
                <c:pt idx="22">
                  <c:v>19.449221835075495</c:v>
                </c:pt>
                <c:pt idx="23">
                  <c:v>19.449221835075495</c:v>
                </c:pt>
                <c:pt idx="24">
                  <c:v>19.449221835075495</c:v>
                </c:pt>
                <c:pt idx="25">
                  <c:v>19.449221835075495</c:v>
                </c:pt>
                <c:pt idx="26">
                  <c:v>19.449221835075495</c:v>
                </c:pt>
                <c:pt idx="27">
                  <c:v>19.449221835075495</c:v>
                </c:pt>
                <c:pt idx="28">
                  <c:v>19.449221835075495</c:v>
                </c:pt>
                <c:pt idx="29">
                  <c:v>19.449221835075495</c:v>
                </c:pt>
                <c:pt idx="30">
                  <c:v>19.449221835075495</c:v>
                </c:pt>
                <c:pt idx="31">
                  <c:v>19.449221835075495</c:v>
                </c:pt>
                <c:pt idx="32">
                  <c:v>19.449221835075495</c:v>
                </c:pt>
                <c:pt idx="33">
                  <c:v>19.449221835075495</c:v>
                </c:pt>
                <c:pt idx="34">
                  <c:v>19.449221835075495</c:v>
                </c:pt>
                <c:pt idx="35">
                  <c:v>19.449221835075495</c:v>
                </c:pt>
                <c:pt idx="36">
                  <c:v>19.449221835075495</c:v>
                </c:pt>
                <c:pt idx="37">
                  <c:v>19.449221835075495</c:v>
                </c:pt>
                <c:pt idx="38">
                  <c:v>19.449221835075495</c:v>
                </c:pt>
                <c:pt idx="39">
                  <c:v>19.449221835075495</c:v>
                </c:pt>
                <c:pt idx="40">
                  <c:v>19.449221835075495</c:v>
                </c:pt>
                <c:pt idx="41">
                  <c:v>19.449221835075495</c:v>
                </c:pt>
                <c:pt idx="43">
                  <c:v>12.256666666666668</c:v>
                </c:pt>
                <c:pt idx="44">
                  <c:v>12.256666666666668</c:v>
                </c:pt>
                <c:pt idx="45">
                  <c:v>12.256666666666668</c:v>
                </c:pt>
                <c:pt idx="46">
                  <c:v>12.256666666666668</c:v>
                </c:pt>
                <c:pt idx="47">
                  <c:v>12.256666666666668</c:v>
                </c:pt>
                <c:pt idx="48">
                  <c:v>12.256666666666668</c:v>
                </c:pt>
                <c:pt idx="49">
                  <c:v>12.256666666666668</c:v>
                </c:pt>
                <c:pt idx="50">
                  <c:v>12.256666666666668</c:v>
                </c:pt>
                <c:pt idx="51">
                  <c:v>12.256666666666668</c:v>
                </c:pt>
                <c:pt idx="52">
                  <c:v>12.256666666666668</c:v>
                </c:pt>
                <c:pt idx="53">
                  <c:v>12.256666666666668</c:v>
                </c:pt>
                <c:pt idx="54">
                  <c:v>12.256666666666668</c:v>
                </c:pt>
                <c:pt idx="55">
                  <c:v>12.256666666666668</c:v>
                </c:pt>
                <c:pt idx="56">
                  <c:v>12.256666666666668</c:v>
                </c:pt>
                <c:pt idx="57">
                  <c:v>12.256666666666668</c:v>
                </c:pt>
                <c:pt idx="58">
                  <c:v>12.256666666666668</c:v>
                </c:pt>
                <c:pt idx="59">
                  <c:v>12.256666666666668</c:v>
                </c:pt>
                <c:pt idx="60">
                  <c:v>12.256666666666668</c:v>
                </c:pt>
                <c:pt idx="61">
                  <c:v>12.256666666666668</c:v>
                </c:pt>
                <c:pt idx="62">
                  <c:v>12.256666666666668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(days)'!$E$1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(days)'!$E$2:$E$64</c:f>
              <c:numCache>
                <c:formatCode>0.0</c:formatCode>
                <c:ptCount val="63"/>
                <c:pt idx="0">
                  <c:v>15.188896631823461</c:v>
                </c:pt>
                <c:pt idx="1">
                  <c:v>15.188896631823461</c:v>
                </c:pt>
                <c:pt idx="2">
                  <c:v>15.188896631823461</c:v>
                </c:pt>
                <c:pt idx="3">
                  <c:v>15.188896631823461</c:v>
                </c:pt>
                <c:pt idx="4">
                  <c:v>15.188896631823461</c:v>
                </c:pt>
                <c:pt idx="5">
                  <c:v>15.188896631823461</c:v>
                </c:pt>
                <c:pt idx="6">
                  <c:v>15.188896631823461</c:v>
                </c:pt>
                <c:pt idx="7">
                  <c:v>15.188896631823461</c:v>
                </c:pt>
                <c:pt idx="8">
                  <c:v>15.188896631823461</c:v>
                </c:pt>
                <c:pt idx="9">
                  <c:v>15.188896631823461</c:v>
                </c:pt>
                <c:pt idx="10">
                  <c:v>15.188896631823461</c:v>
                </c:pt>
                <c:pt idx="11">
                  <c:v>15.188896631823461</c:v>
                </c:pt>
                <c:pt idx="12">
                  <c:v>15.188896631823461</c:v>
                </c:pt>
                <c:pt idx="13">
                  <c:v>15.188896631823461</c:v>
                </c:pt>
                <c:pt idx="14">
                  <c:v>15.188896631823461</c:v>
                </c:pt>
                <c:pt idx="15">
                  <c:v>15.188896631823461</c:v>
                </c:pt>
                <c:pt idx="16">
                  <c:v>15.188896631823461</c:v>
                </c:pt>
                <c:pt idx="17">
                  <c:v>15.188896631823461</c:v>
                </c:pt>
                <c:pt idx="18">
                  <c:v>15.188896631823461</c:v>
                </c:pt>
                <c:pt idx="19">
                  <c:v>15.188896631823461</c:v>
                </c:pt>
                <c:pt idx="20">
                  <c:v>15.188896631823461</c:v>
                </c:pt>
                <c:pt idx="21">
                  <c:v>15.188896631823461</c:v>
                </c:pt>
                <c:pt idx="22">
                  <c:v>15.188896631823461</c:v>
                </c:pt>
                <c:pt idx="23">
                  <c:v>15.188896631823461</c:v>
                </c:pt>
                <c:pt idx="24">
                  <c:v>15.188896631823461</c:v>
                </c:pt>
                <c:pt idx="25">
                  <c:v>15.188896631823461</c:v>
                </c:pt>
                <c:pt idx="26">
                  <c:v>15.188896631823461</c:v>
                </c:pt>
                <c:pt idx="27">
                  <c:v>15.188896631823461</c:v>
                </c:pt>
                <c:pt idx="28">
                  <c:v>15.188896631823461</c:v>
                </c:pt>
                <c:pt idx="29">
                  <c:v>15.188896631823461</c:v>
                </c:pt>
                <c:pt idx="30">
                  <c:v>15.188896631823461</c:v>
                </c:pt>
                <c:pt idx="31">
                  <c:v>15.188896631823461</c:v>
                </c:pt>
                <c:pt idx="32">
                  <c:v>15.188896631823461</c:v>
                </c:pt>
                <c:pt idx="33">
                  <c:v>15.188896631823461</c:v>
                </c:pt>
                <c:pt idx="34">
                  <c:v>15.188896631823461</c:v>
                </c:pt>
                <c:pt idx="35">
                  <c:v>15.188896631823461</c:v>
                </c:pt>
                <c:pt idx="36">
                  <c:v>15.188896631823461</c:v>
                </c:pt>
                <c:pt idx="37">
                  <c:v>15.188896631823461</c:v>
                </c:pt>
                <c:pt idx="38">
                  <c:v>15.188896631823461</c:v>
                </c:pt>
                <c:pt idx="39">
                  <c:v>15.188896631823461</c:v>
                </c:pt>
                <c:pt idx="40">
                  <c:v>15.188896631823461</c:v>
                </c:pt>
                <c:pt idx="41">
                  <c:v>15.188896631823461</c:v>
                </c:pt>
                <c:pt idx="43">
                  <c:v>10.203333333333333</c:v>
                </c:pt>
                <c:pt idx="44">
                  <c:v>10.203333333333333</c:v>
                </c:pt>
                <c:pt idx="45">
                  <c:v>10.203333333333333</c:v>
                </c:pt>
                <c:pt idx="46">
                  <c:v>10.203333333333333</c:v>
                </c:pt>
                <c:pt idx="47">
                  <c:v>10.203333333333333</c:v>
                </c:pt>
                <c:pt idx="48">
                  <c:v>10.203333333333333</c:v>
                </c:pt>
                <c:pt idx="49">
                  <c:v>10.203333333333333</c:v>
                </c:pt>
                <c:pt idx="50">
                  <c:v>10.203333333333333</c:v>
                </c:pt>
                <c:pt idx="51">
                  <c:v>10.203333333333333</c:v>
                </c:pt>
                <c:pt idx="52">
                  <c:v>10.203333333333333</c:v>
                </c:pt>
                <c:pt idx="53">
                  <c:v>10.203333333333333</c:v>
                </c:pt>
                <c:pt idx="54">
                  <c:v>10.203333333333333</c:v>
                </c:pt>
                <c:pt idx="55">
                  <c:v>10.203333333333333</c:v>
                </c:pt>
                <c:pt idx="56">
                  <c:v>10.203333333333333</c:v>
                </c:pt>
                <c:pt idx="57">
                  <c:v>10.203333333333333</c:v>
                </c:pt>
                <c:pt idx="58">
                  <c:v>10.203333333333333</c:v>
                </c:pt>
                <c:pt idx="59">
                  <c:v>10.203333333333333</c:v>
                </c:pt>
                <c:pt idx="60">
                  <c:v>10.203333333333333</c:v>
                </c:pt>
                <c:pt idx="61">
                  <c:v>10.203333333333333</c:v>
                </c:pt>
                <c:pt idx="62">
                  <c:v>10.203333333333333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(days)'!$F$1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(days)'!$F$2:$F$64</c:f>
              <c:numCache>
                <c:formatCode>0.0</c:formatCode>
                <c:ptCount val="63"/>
                <c:pt idx="0">
                  <c:v>10.928571428571429</c:v>
                </c:pt>
                <c:pt idx="1">
                  <c:v>10.928571428571429</c:v>
                </c:pt>
                <c:pt idx="2">
                  <c:v>10.928571428571429</c:v>
                </c:pt>
                <c:pt idx="3">
                  <c:v>10.928571428571429</c:v>
                </c:pt>
                <c:pt idx="4">
                  <c:v>10.928571428571429</c:v>
                </c:pt>
                <c:pt idx="5">
                  <c:v>10.928571428571429</c:v>
                </c:pt>
                <c:pt idx="6">
                  <c:v>10.928571428571429</c:v>
                </c:pt>
                <c:pt idx="7">
                  <c:v>10.928571428571429</c:v>
                </c:pt>
                <c:pt idx="8">
                  <c:v>10.928571428571429</c:v>
                </c:pt>
                <c:pt idx="9">
                  <c:v>10.928571428571429</c:v>
                </c:pt>
                <c:pt idx="10">
                  <c:v>10.928571428571429</c:v>
                </c:pt>
                <c:pt idx="11">
                  <c:v>10.928571428571429</c:v>
                </c:pt>
                <c:pt idx="12">
                  <c:v>10.928571428571429</c:v>
                </c:pt>
                <c:pt idx="13">
                  <c:v>10.928571428571429</c:v>
                </c:pt>
                <c:pt idx="14">
                  <c:v>10.928571428571429</c:v>
                </c:pt>
                <c:pt idx="15">
                  <c:v>10.928571428571429</c:v>
                </c:pt>
                <c:pt idx="16">
                  <c:v>10.928571428571429</c:v>
                </c:pt>
                <c:pt idx="17">
                  <c:v>10.928571428571429</c:v>
                </c:pt>
                <c:pt idx="18">
                  <c:v>10.928571428571429</c:v>
                </c:pt>
                <c:pt idx="19">
                  <c:v>10.928571428571429</c:v>
                </c:pt>
                <c:pt idx="20">
                  <c:v>10.928571428571429</c:v>
                </c:pt>
                <c:pt idx="21">
                  <c:v>10.928571428571429</c:v>
                </c:pt>
                <c:pt idx="22">
                  <c:v>10.928571428571429</c:v>
                </c:pt>
                <c:pt idx="23">
                  <c:v>10.928571428571429</c:v>
                </c:pt>
                <c:pt idx="24">
                  <c:v>10.928571428571429</c:v>
                </c:pt>
                <c:pt idx="25">
                  <c:v>10.928571428571429</c:v>
                </c:pt>
                <c:pt idx="26">
                  <c:v>10.928571428571429</c:v>
                </c:pt>
                <c:pt idx="27">
                  <c:v>10.928571428571429</c:v>
                </c:pt>
                <c:pt idx="28">
                  <c:v>10.928571428571429</c:v>
                </c:pt>
                <c:pt idx="29">
                  <c:v>10.928571428571429</c:v>
                </c:pt>
                <c:pt idx="30">
                  <c:v>10.928571428571429</c:v>
                </c:pt>
                <c:pt idx="31">
                  <c:v>10.928571428571429</c:v>
                </c:pt>
                <c:pt idx="32">
                  <c:v>10.928571428571429</c:v>
                </c:pt>
                <c:pt idx="33">
                  <c:v>10.928571428571429</c:v>
                </c:pt>
                <c:pt idx="34">
                  <c:v>10.928571428571429</c:v>
                </c:pt>
                <c:pt idx="35">
                  <c:v>10.928571428571429</c:v>
                </c:pt>
                <c:pt idx="36">
                  <c:v>10.928571428571429</c:v>
                </c:pt>
                <c:pt idx="37">
                  <c:v>10.928571428571429</c:v>
                </c:pt>
                <c:pt idx="38">
                  <c:v>10.928571428571429</c:v>
                </c:pt>
                <c:pt idx="39">
                  <c:v>10.928571428571429</c:v>
                </c:pt>
                <c:pt idx="40">
                  <c:v>10.928571428571429</c:v>
                </c:pt>
                <c:pt idx="41">
                  <c:v>10.928571428571429</c:v>
                </c:pt>
                <c:pt idx="43">
                  <c:v>8.15</c:v>
                </c:pt>
                <c:pt idx="44">
                  <c:v>8.15</c:v>
                </c:pt>
                <c:pt idx="45">
                  <c:v>8.15</c:v>
                </c:pt>
                <c:pt idx="46">
                  <c:v>8.15</c:v>
                </c:pt>
                <c:pt idx="47">
                  <c:v>8.15</c:v>
                </c:pt>
                <c:pt idx="48">
                  <c:v>8.15</c:v>
                </c:pt>
                <c:pt idx="49">
                  <c:v>8.15</c:v>
                </c:pt>
                <c:pt idx="50">
                  <c:v>8.15</c:v>
                </c:pt>
                <c:pt idx="51">
                  <c:v>8.15</c:v>
                </c:pt>
                <c:pt idx="52">
                  <c:v>8.15</c:v>
                </c:pt>
                <c:pt idx="53">
                  <c:v>8.15</c:v>
                </c:pt>
                <c:pt idx="54">
                  <c:v>8.15</c:v>
                </c:pt>
                <c:pt idx="55">
                  <c:v>8.15</c:v>
                </c:pt>
                <c:pt idx="56">
                  <c:v>8.15</c:v>
                </c:pt>
                <c:pt idx="57">
                  <c:v>8.15</c:v>
                </c:pt>
                <c:pt idx="58">
                  <c:v>8.15</c:v>
                </c:pt>
                <c:pt idx="59">
                  <c:v>8.15</c:v>
                </c:pt>
                <c:pt idx="60">
                  <c:v>8.15</c:v>
                </c:pt>
                <c:pt idx="61">
                  <c:v>8.15</c:v>
                </c:pt>
                <c:pt idx="62">
                  <c:v>8.15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(days)'!$G$1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(days)'!$G$2:$G$64</c:f>
              <c:numCache>
                <c:formatCode>0.0</c:formatCode>
                <c:ptCount val="63"/>
                <c:pt idx="0">
                  <c:v>6.6682462253193959</c:v>
                </c:pt>
                <c:pt idx="1">
                  <c:v>6.6682462253193959</c:v>
                </c:pt>
                <c:pt idx="2">
                  <c:v>6.6682462253193959</c:v>
                </c:pt>
                <c:pt idx="3">
                  <c:v>6.6682462253193959</c:v>
                </c:pt>
                <c:pt idx="4">
                  <c:v>6.6682462253193959</c:v>
                </c:pt>
                <c:pt idx="5">
                  <c:v>6.6682462253193959</c:v>
                </c:pt>
                <c:pt idx="6">
                  <c:v>6.6682462253193959</c:v>
                </c:pt>
                <c:pt idx="7">
                  <c:v>6.6682462253193959</c:v>
                </c:pt>
                <c:pt idx="8">
                  <c:v>6.6682462253193959</c:v>
                </c:pt>
                <c:pt idx="9">
                  <c:v>6.6682462253193959</c:v>
                </c:pt>
                <c:pt idx="10">
                  <c:v>6.6682462253193959</c:v>
                </c:pt>
                <c:pt idx="11">
                  <c:v>6.6682462253193959</c:v>
                </c:pt>
                <c:pt idx="12">
                  <c:v>6.6682462253193959</c:v>
                </c:pt>
                <c:pt idx="13">
                  <c:v>6.6682462253193959</c:v>
                </c:pt>
                <c:pt idx="14">
                  <c:v>6.6682462253193959</c:v>
                </c:pt>
                <c:pt idx="15">
                  <c:v>6.6682462253193959</c:v>
                </c:pt>
                <c:pt idx="16">
                  <c:v>6.6682462253193959</c:v>
                </c:pt>
                <c:pt idx="17">
                  <c:v>6.6682462253193959</c:v>
                </c:pt>
                <c:pt idx="18">
                  <c:v>6.6682462253193959</c:v>
                </c:pt>
                <c:pt idx="19">
                  <c:v>6.6682462253193959</c:v>
                </c:pt>
                <c:pt idx="20">
                  <c:v>6.6682462253193959</c:v>
                </c:pt>
                <c:pt idx="21">
                  <c:v>6.6682462253193959</c:v>
                </c:pt>
                <c:pt idx="22">
                  <c:v>6.6682462253193959</c:v>
                </c:pt>
                <c:pt idx="23">
                  <c:v>6.6682462253193959</c:v>
                </c:pt>
                <c:pt idx="24">
                  <c:v>6.6682462253193959</c:v>
                </c:pt>
                <c:pt idx="25">
                  <c:v>6.6682462253193959</c:v>
                </c:pt>
                <c:pt idx="26">
                  <c:v>6.6682462253193959</c:v>
                </c:pt>
                <c:pt idx="27">
                  <c:v>6.6682462253193959</c:v>
                </c:pt>
                <c:pt idx="28">
                  <c:v>6.6682462253193959</c:v>
                </c:pt>
                <c:pt idx="29">
                  <c:v>6.6682462253193959</c:v>
                </c:pt>
                <c:pt idx="30">
                  <c:v>6.6682462253193959</c:v>
                </c:pt>
                <c:pt idx="31">
                  <c:v>6.6682462253193959</c:v>
                </c:pt>
                <c:pt idx="32">
                  <c:v>6.6682462253193959</c:v>
                </c:pt>
                <c:pt idx="33">
                  <c:v>6.6682462253193959</c:v>
                </c:pt>
                <c:pt idx="34">
                  <c:v>6.6682462253193959</c:v>
                </c:pt>
                <c:pt idx="35">
                  <c:v>6.6682462253193959</c:v>
                </c:pt>
                <c:pt idx="36">
                  <c:v>6.6682462253193959</c:v>
                </c:pt>
                <c:pt idx="37">
                  <c:v>6.6682462253193959</c:v>
                </c:pt>
                <c:pt idx="38">
                  <c:v>6.6682462253193959</c:v>
                </c:pt>
                <c:pt idx="39">
                  <c:v>6.6682462253193959</c:v>
                </c:pt>
                <c:pt idx="40">
                  <c:v>6.6682462253193959</c:v>
                </c:pt>
                <c:pt idx="41">
                  <c:v>6.6682462253193959</c:v>
                </c:pt>
                <c:pt idx="43">
                  <c:v>6.0966666666666667</c:v>
                </c:pt>
                <c:pt idx="44">
                  <c:v>6.0966666666666667</c:v>
                </c:pt>
                <c:pt idx="45">
                  <c:v>6.0966666666666667</c:v>
                </c:pt>
                <c:pt idx="46">
                  <c:v>6.0966666666666667</c:v>
                </c:pt>
                <c:pt idx="47">
                  <c:v>6.0966666666666667</c:v>
                </c:pt>
                <c:pt idx="48">
                  <c:v>6.0966666666666667</c:v>
                </c:pt>
                <c:pt idx="49">
                  <c:v>6.0966666666666667</c:v>
                </c:pt>
                <c:pt idx="50">
                  <c:v>6.0966666666666667</c:v>
                </c:pt>
                <c:pt idx="51">
                  <c:v>6.0966666666666667</c:v>
                </c:pt>
                <c:pt idx="52">
                  <c:v>6.0966666666666667</c:v>
                </c:pt>
                <c:pt idx="53">
                  <c:v>6.0966666666666667</c:v>
                </c:pt>
                <c:pt idx="54">
                  <c:v>6.0966666666666667</c:v>
                </c:pt>
                <c:pt idx="55">
                  <c:v>6.0966666666666667</c:v>
                </c:pt>
                <c:pt idx="56">
                  <c:v>6.0966666666666667</c:v>
                </c:pt>
                <c:pt idx="57">
                  <c:v>6.0966666666666667</c:v>
                </c:pt>
                <c:pt idx="58">
                  <c:v>6.0966666666666667</c:v>
                </c:pt>
                <c:pt idx="59">
                  <c:v>6.0966666666666667</c:v>
                </c:pt>
                <c:pt idx="60">
                  <c:v>6.0966666666666667</c:v>
                </c:pt>
                <c:pt idx="61">
                  <c:v>6.0966666666666667</c:v>
                </c:pt>
                <c:pt idx="62">
                  <c:v>6.0966666666666667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(days)'!$H$1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(days)'!$H$2:$H$64</c:f>
              <c:numCache>
                <c:formatCode>0.0</c:formatCode>
                <c:ptCount val="63"/>
                <c:pt idx="0">
                  <c:v>2.407921022067363</c:v>
                </c:pt>
                <c:pt idx="1">
                  <c:v>2.407921022067363</c:v>
                </c:pt>
                <c:pt idx="2">
                  <c:v>2.407921022067363</c:v>
                </c:pt>
                <c:pt idx="3">
                  <c:v>2.407921022067363</c:v>
                </c:pt>
                <c:pt idx="4">
                  <c:v>2.407921022067363</c:v>
                </c:pt>
                <c:pt idx="5">
                  <c:v>2.407921022067363</c:v>
                </c:pt>
                <c:pt idx="6">
                  <c:v>2.407921022067363</c:v>
                </c:pt>
                <c:pt idx="7">
                  <c:v>2.407921022067363</c:v>
                </c:pt>
                <c:pt idx="8">
                  <c:v>2.407921022067363</c:v>
                </c:pt>
                <c:pt idx="9">
                  <c:v>2.407921022067363</c:v>
                </c:pt>
                <c:pt idx="10">
                  <c:v>2.407921022067363</c:v>
                </c:pt>
                <c:pt idx="11">
                  <c:v>2.407921022067363</c:v>
                </c:pt>
                <c:pt idx="12">
                  <c:v>2.407921022067363</c:v>
                </c:pt>
                <c:pt idx="13">
                  <c:v>2.407921022067363</c:v>
                </c:pt>
                <c:pt idx="14">
                  <c:v>2.407921022067363</c:v>
                </c:pt>
                <c:pt idx="15">
                  <c:v>2.407921022067363</c:v>
                </c:pt>
                <c:pt idx="16">
                  <c:v>2.407921022067363</c:v>
                </c:pt>
                <c:pt idx="17">
                  <c:v>2.407921022067363</c:v>
                </c:pt>
                <c:pt idx="18">
                  <c:v>2.407921022067363</c:v>
                </c:pt>
                <c:pt idx="19">
                  <c:v>2.407921022067363</c:v>
                </c:pt>
                <c:pt idx="20">
                  <c:v>2.407921022067363</c:v>
                </c:pt>
                <c:pt idx="21">
                  <c:v>2.407921022067363</c:v>
                </c:pt>
                <c:pt idx="22">
                  <c:v>2.407921022067363</c:v>
                </c:pt>
                <c:pt idx="23">
                  <c:v>2.407921022067363</c:v>
                </c:pt>
                <c:pt idx="24">
                  <c:v>2.407921022067363</c:v>
                </c:pt>
                <c:pt idx="25">
                  <c:v>2.407921022067363</c:v>
                </c:pt>
                <c:pt idx="26">
                  <c:v>2.407921022067363</c:v>
                </c:pt>
                <c:pt idx="27">
                  <c:v>2.407921022067363</c:v>
                </c:pt>
                <c:pt idx="28">
                  <c:v>2.407921022067363</c:v>
                </c:pt>
                <c:pt idx="29">
                  <c:v>2.407921022067363</c:v>
                </c:pt>
                <c:pt idx="30">
                  <c:v>2.407921022067363</c:v>
                </c:pt>
                <c:pt idx="31">
                  <c:v>2.407921022067363</c:v>
                </c:pt>
                <c:pt idx="32">
                  <c:v>2.407921022067363</c:v>
                </c:pt>
                <c:pt idx="33">
                  <c:v>2.407921022067363</c:v>
                </c:pt>
                <c:pt idx="34">
                  <c:v>2.407921022067363</c:v>
                </c:pt>
                <c:pt idx="35">
                  <c:v>2.407921022067363</c:v>
                </c:pt>
                <c:pt idx="36">
                  <c:v>2.407921022067363</c:v>
                </c:pt>
                <c:pt idx="37">
                  <c:v>2.407921022067363</c:v>
                </c:pt>
                <c:pt idx="38">
                  <c:v>2.407921022067363</c:v>
                </c:pt>
                <c:pt idx="39">
                  <c:v>2.407921022067363</c:v>
                </c:pt>
                <c:pt idx="40">
                  <c:v>2.407921022067363</c:v>
                </c:pt>
                <c:pt idx="41">
                  <c:v>2.407921022067363</c:v>
                </c:pt>
                <c:pt idx="43">
                  <c:v>4.043333333333333</c:v>
                </c:pt>
                <c:pt idx="44">
                  <c:v>4.043333333333333</c:v>
                </c:pt>
                <c:pt idx="45">
                  <c:v>4.043333333333333</c:v>
                </c:pt>
                <c:pt idx="46">
                  <c:v>4.043333333333333</c:v>
                </c:pt>
                <c:pt idx="47">
                  <c:v>4.043333333333333</c:v>
                </c:pt>
                <c:pt idx="48">
                  <c:v>4.043333333333333</c:v>
                </c:pt>
                <c:pt idx="49">
                  <c:v>4.043333333333333</c:v>
                </c:pt>
                <c:pt idx="50">
                  <c:v>4.043333333333333</c:v>
                </c:pt>
                <c:pt idx="51">
                  <c:v>4.043333333333333</c:v>
                </c:pt>
                <c:pt idx="52">
                  <c:v>4.043333333333333</c:v>
                </c:pt>
                <c:pt idx="53">
                  <c:v>4.043333333333333</c:v>
                </c:pt>
                <c:pt idx="54">
                  <c:v>4.043333333333333</c:v>
                </c:pt>
                <c:pt idx="55">
                  <c:v>4.043333333333333</c:v>
                </c:pt>
                <c:pt idx="56">
                  <c:v>4.043333333333333</c:v>
                </c:pt>
                <c:pt idx="57">
                  <c:v>4.043333333333333</c:v>
                </c:pt>
                <c:pt idx="58">
                  <c:v>4.043333333333333</c:v>
                </c:pt>
                <c:pt idx="59">
                  <c:v>4.043333333333333</c:v>
                </c:pt>
                <c:pt idx="60">
                  <c:v>4.043333333333333</c:v>
                </c:pt>
                <c:pt idx="61">
                  <c:v>4.043333333333333</c:v>
                </c:pt>
                <c:pt idx="62">
                  <c:v>4.043333333333333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(days)'!$I$1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(days)'!$A$2:$A$64</c:f>
              <c:numCache>
                <c:formatCode>m/d/yyyy</c:formatCode>
                <c:ptCount val="63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3">
                  <c:v>41830</c:v>
                </c:pt>
                <c:pt idx="44">
                  <c:v>41858</c:v>
                </c:pt>
                <c:pt idx="45">
                  <c:v>41873</c:v>
                </c:pt>
                <c:pt idx="46">
                  <c:v>41880</c:v>
                </c:pt>
                <c:pt idx="47">
                  <c:v>41886</c:v>
                </c:pt>
                <c:pt idx="48">
                  <c:v>41887</c:v>
                </c:pt>
                <c:pt idx="49">
                  <c:v>41893</c:v>
                </c:pt>
                <c:pt idx="50">
                  <c:v>41914</c:v>
                </c:pt>
                <c:pt idx="51">
                  <c:v>41921</c:v>
                </c:pt>
                <c:pt idx="52">
                  <c:v>41922</c:v>
                </c:pt>
                <c:pt idx="53">
                  <c:v>41928</c:v>
                </c:pt>
                <c:pt idx="54">
                  <c:v>41962</c:v>
                </c:pt>
                <c:pt idx="55">
                  <c:v>41977</c:v>
                </c:pt>
                <c:pt idx="56">
                  <c:v>42006</c:v>
                </c:pt>
                <c:pt idx="57">
                  <c:v>42027</c:v>
                </c:pt>
                <c:pt idx="58">
                  <c:v>42033</c:v>
                </c:pt>
                <c:pt idx="59">
                  <c:v>42034</c:v>
                </c:pt>
                <c:pt idx="60">
                  <c:v>42040</c:v>
                </c:pt>
                <c:pt idx="61">
                  <c:v>42075</c:v>
                </c:pt>
                <c:pt idx="62">
                  <c:v>42111</c:v>
                </c:pt>
              </c:numCache>
            </c:numRef>
          </c:cat>
          <c:val>
            <c:numRef>
              <c:f>'Length of stay (days)'!$I$2:$I$64</c:f>
              <c:numCache>
                <c:formatCode>0.0</c:formatCode>
                <c:ptCount val="63"/>
                <c:pt idx="0">
                  <c:v>-1.852404181184669</c:v>
                </c:pt>
                <c:pt idx="1">
                  <c:v>-1.852404181184669</c:v>
                </c:pt>
                <c:pt idx="2">
                  <c:v>-1.852404181184669</c:v>
                </c:pt>
                <c:pt idx="3">
                  <c:v>-1.852404181184669</c:v>
                </c:pt>
                <c:pt idx="4">
                  <c:v>-1.852404181184669</c:v>
                </c:pt>
                <c:pt idx="5">
                  <c:v>-1.852404181184669</c:v>
                </c:pt>
                <c:pt idx="6">
                  <c:v>-1.852404181184669</c:v>
                </c:pt>
                <c:pt idx="7">
                  <c:v>-1.852404181184669</c:v>
                </c:pt>
                <c:pt idx="8">
                  <c:v>-1.852404181184669</c:v>
                </c:pt>
                <c:pt idx="9">
                  <c:v>-1.852404181184669</c:v>
                </c:pt>
                <c:pt idx="10">
                  <c:v>-1.852404181184669</c:v>
                </c:pt>
                <c:pt idx="11">
                  <c:v>-1.852404181184669</c:v>
                </c:pt>
                <c:pt idx="12">
                  <c:v>-1.852404181184669</c:v>
                </c:pt>
                <c:pt idx="13">
                  <c:v>-1.852404181184669</c:v>
                </c:pt>
                <c:pt idx="14">
                  <c:v>-1.852404181184669</c:v>
                </c:pt>
                <c:pt idx="15">
                  <c:v>-1.852404181184669</c:v>
                </c:pt>
                <c:pt idx="16">
                  <c:v>-1.852404181184669</c:v>
                </c:pt>
                <c:pt idx="17">
                  <c:v>-1.852404181184669</c:v>
                </c:pt>
                <c:pt idx="18">
                  <c:v>-1.852404181184669</c:v>
                </c:pt>
                <c:pt idx="19">
                  <c:v>-1.852404181184669</c:v>
                </c:pt>
                <c:pt idx="20">
                  <c:v>-1.852404181184669</c:v>
                </c:pt>
                <c:pt idx="21">
                  <c:v>-1.852404181184669</c:v>
                </c:pt>
                <c:pt idx="22">
                  <c:v>-1.852404181184669</c:v>
                </c:pt>
                <c:pt idx="23">
                  <c:v>-1.852404181184669</c:v>
                </c:pt>
                <c:pt idx="24">
                  <c:v>-1.852404181184669</c:v>
                </c:pt>
                <c:pt idx="25">
                  <c:v>-1.852404181184669</c:v>
                </c:pt>
                <c:pt idx="26">
                  <c:v>-1.852404181184669</c:v>
                </c:pt>
                <c:pt idx="27">
                  <c:v>-1.852404181184669</c:v>
                </c:pt>
                <c:pt idx="28">
                  <c:v>-1.852404181184669</c:v>
                </c:pt>
                <c:pt idx="29">
                  <c:v>-1.852404181184669</c:v>
                </c:pt>
                <c:pt idx="30">
                  <c:v>-1.852404181184669</c:v>
                </c:pt>
                <c:pt idx="31">
                  <c:v>-1.852404181184669</c:v>
                </c:pt>
                <c:pt idx="32">
                  <c:v>-1.852404181184669</c:v>
                </c:pt>
                <c:pt idx="33">
                  <c:v>-1.852404181184669</c:v>
                </c:pt>
                <c:pt idx="34">
                  <c:v>-1.852404181184669</c:v>
                </c:pt>
                <c:pt idx="35">
                  <c:v>-1.852404181184669</c:v>
                </c:pt>
                <c:pt idx="36">
                  <c:v>-1.852404181184669</c:v>
                </c:pt>
                <c:pt idx="37">
                  <c:v>-1.852404181184669</c:v>
                </c:pt>
                <c:pt idx="38">
                  <c:v>-1.852404181184669</c:v>
                </c:pt>
                <c:pt idx="39">
                  <c:v>-1.852404181184669</c:v>
                </c:pt>
                <c:pt idx="40">
                  <c:v>-1.852404181184669</c:v>
                </c:pt>
                <c:pt idx="41">
                  <c:v>-1.852404181184669</c:v>
                </c:pt>
                <c:pt idx="43">
                  <c:v>1.9900000000000002</c:v>
                </c:pt>
                <c:pt idx="44">
                  <c:v>1.9900000000000002</c:v>
                </c:pt>
                <c:pt idx="45">
                  <c:v>1.9900000000000002</c:v>
                </c:pt>
                <c:pt idx="46">
                  <c:v>1.9900000000000002</c:v>
                </c:pt>
                <c:pt idx="47">
                  <c:v>1.9900000000000002</c:v>
                </c:pt>
                <c:pt idx="48">
                  <c:v>1.9900000000000002</c:v>
                </c:pt>
                <c:pt idx="49">
                  <c:v>1.9900000000000002</c:v>
                </c:pt>
                <c:pt idx="50">
                  <c:v>1.9900000000000002</c:v>
                </c:pt>
                <c:pt idx="51">
                  <c:v>1.9900000000000002</c:v>
                </c:pt>
                <c:pt idx="52">
                  <c:v>1.9900000000000002</c:v>
                </c:pt>
                <c:pt idx="53">
                  <c:v>1.9900000000000002</c:v>
                </c:pt>
                <c:pt idx="54">
                  <c:v>1.9900000000000002</c:v>
                </c:pt>
                <c:pt idx="55">
                  <c:v>1.9900000000000002</c:v>
                </c:pt>
                <c:pt idx="56">
                  <c:v>1.9900000000000002</c:v>
                </c:pt>
                <c:pt idx="57">
                  <c:v>1.9900000000000002</c:v>
                </c:pt>
                <c:pt idx="58">
                  <c:v>1.9900000000000002</c:v>
                </c:pt>
                <c:pt idx="59">
                  <c:v>1.9900000000000002</c:v>
                </c:pt>
                <c:pt idx="60">
                  <c:v>1.9900000000000002</c:v>
                </c:pt>
                <c:pt idx="61">
                  <c:v>1.9900000000000002</c:v>
                </c:pt>
                <c:pt idx="62">
                  <c:v>1.9900000000000002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123264"/>
        <c:axId val="192125184"/>
      </c:lineChart>
      <c:catAx>
        <c:axId val="19212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192125184"/>
        <c:crossesAt val="-5"/>
        <c:auto val="0"/>
        <c:lblAlgn val="ctr"/>
        <c:lblOffset val="100"/>
        <c:noMultiLvlLbl val="0"/>
      </c:catAx>
      <c:valAx>
        <c:axId val="192125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Length of stay (days)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921232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(days)5'!$K$1</c:f>
              <c:strCache>
                <c:ptCount val="1"/>
                <c:pt idx="0">
                  <c:v>Range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(days)5'!$K$2:$K$38</c:f>
              <c:numCache>
                <c:formatCode>0</c:formatCode>
                <c:ptCount val="37"/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  <c:pt idx="5">
                  <c:v>13</c:v>
                </c:pt>
                <c:pt idx="6">
                  <c:v>3</c:v>
                </c:pt>
                <c:pt idx="7">
                  <c:v>7</c:v>
                </c:pt>
                <c:pt idx="8">
                  <c:v>12</c:v>
                </c:pt>
                <c:pt idx="9">
                  <c:v>8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2</c:v>
                </c:pt>
                <c:pt idx="16">
                  <c:v>6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1</c:v>
                </c:pt>
                <c:pt idx="36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(days)5'!$L$1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465564654365617E-2"/>
                  <c:y val="-1.0121765637609848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(days)5'!$L$2:$L$38</c:f>
              <c:numCache>
                <c:formatCode>0</c:formatCode>
                <c:ptCount val="37"/>
                <c:pt idx="1">
                  <c:v>14.701499999999999</c:v>
                </c:pt>
                <c:pt idx="2">
                  <c:v>14.701499999999999</c:v>
                </c:pt>
                <c:pt idx="3">
                  <c:v>14.701499999999999</c:v>
                </c:pt>
                <c:pt idx="4">
                  <c:v>14.701499999999999</c:v>
                </c:pt>
                <c:pt idx="5">
                  <c:v>14.701499999999999</c:v>
                </c:pt>
                <c:pt idx="6">
                  <c:v>14.701499999999999</c:v>
                </c:pt>
                <c:pt idx="7">
                  <c:v>14.701499999999999</c:v>
                </c:pt>
                <c:pt idx="8">
                  <c:v>14.701499999999999</c:v>
                </c:pt>
                <c:pt idx="9">
                  <c:v>14.701499999999999</c:v>
                </c:pt>
                <c:pt idx="10">
                  <c:v>14.701499999999999</c:v>
                </c:pt>
                <c:pt idx="11">
                  <c:v>14.701499999999999</c:v>
                </c:pt>
                <c:pt idx="12">
                  <c:v>14.701499999999999</c:v>
                </c:pt>
                <c:pt idx="13">
                  <c:v>14.701499999999999</c:v>
                </c:pt>
                <c:pt idx="14">
                  <c:v>14.701499999999999</c:v>
                </c:pt>
                <c:pt idx="15">
                  <c:v>14.701499999999999</c:v>
                </c:pt>
                <c:pt idx="16">
                  <c:v>14.701499999999999</c:v>
                </c:pt>
                <c:pt idx="18">
                  <c:v>6.1709999999999994</c:v>
                </c:pt>
                <c:pt idx="19">
                  <c:v>6.1709999999999994</c:v>
                </c:pt>
                <c:pt idx="20">
                  <c:v>6.1709999999999994</c:v>
                </c:pt>
                <c:pt idx="21">
                  <c:v>6.1709999999999994</c:v>
                </c:pt>
                <c:pt idx="22">
                  <c:v>6.1709999999999994</c:v>
                </c:pt>
                <c:pt idx="23">
                  <c:v>6.1709999999999994</c:v>
                </c:pt>
                <c:pt idx="24">
                  <c:v>6.1709999999999994</c:v>
                </c:pt>
                <c:pt idx="25">
                  <c:v>6.1709999999999994</c:v>
                </c:pt>
                <c:pt idx="26">
                  <c:v>6.1709999999999994</c:v>
                </c:pt>
                <c:pt idx="27">
                  <c:v>6.1709999999999994</c:v>
                </c:pt>
                <c:pt idx="28">
                  <c:v>6.1709999999999994</c:v>
                </c:pt>
                <c:pt idx="29">
                  <c:v>6.1709999999999994</c:v>
                </c:pt>
                <c:pt idx="30">
                  <c:v>6.1709999999999994</c:v>
                </c:pt>
                <c:pt idx="31">
                  <c:v>6.1709999999999994</c:v>
                </c:pt>
                <c:pt idx="32">
                  <c:v>6.1709999999999994</c:v>
                </c:pt>
                <c:pt idx="33">
                  <c:v>6.1709999999999994</c:v>
                </c:pt>
                <c:pt idx="34">
                  <c:v>6.1709999999999994</c:v>
                </c:pt>
                <c:pt idx="35">
                  <c:v>6.1709999999999994</c:v>
                </c:pt>
                <c:pt idx="36">
                  <c:v>6.1709999999999994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(days)5'!$M$1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(days)5'!$M$2:$M$38</c:f>
              <c:numCache>
                <c:formatCode>0</c:formatCode>
                <c:ptCount val="37"/>
                <c:pt idx="1">
                  <c:v>11.300999999999998</c:v>
                </c:pt>
                <c:pt idx="2">
                  <c:v>11.300999999999998</c:v>
                </c:pt>
                <c:pt idx="3">
                  <c:v>11.300999999999998</c:v>
                </c:pt>
                <c:pt idx="4">
                  <c:v>11.300999999999998</c:v>
                </c:pt>
                <c:pt idx="5">
                  <c:v>11.300999999999998</c:v>
                </c:pt>
                <c:pt idx="6">
                  <c:v>11.300999999999998</c:v>
                </c:pt>
                <c:pt idx="7">
                  <c:v>11.300999999999998</c:v>
                </c:pt>
                <c:pt idx="8">
                  <c:v>11.300999999999998</c:v>
                </c:pt>
                <c:pt idx="9">
                  <c:v>11.300999999999998</c:v>
                </c:pt>
                <c:pt idx="10">
                  <c:v>11.300999999999998</c:v>
                </c:pt>
                <c:pt idx="11">
                  <c:v>11.300999999999998</c:v>
                </c:pt>
                <c:pt idx="12">
                  <c:v>11.300999999999998</c:v>
                </c:pt>
                <c:pt idx="13">
                  <c:v>11.300999999999998</c:v>
                </c:pt>
                <c:pt idx="14">
                  <c:v>11.300999999999998</c:v>
                </c:pt>
                <c:pt idx="15">
                  <c:v>11.300999999999998</c:v>
                </c:pt>
                <c:pt idx="16">
                  <c:v>11.300999999999998</c:v>
                </c:pt>
                <c:pt idx="18">
                  <c:v>4.7436296296296288</c:v>
                </c:pt>
                <c:pt idx="19">
                  <c:v>4.7436296296296288</c:v>
                </c:pt>
                <c:pt idx="20">
                  <c:v>4.7436296296296288</c:v>
                </c:pt>
                <c:pt idx="21">
                  <c:v>4.7436296296296288</c:v>
                </c:pt>
                <c:pt idx="22">
                  <c:v>4.7436296296296288</c:v>
                </c:pt>
                <c:pt idx="23">
                  <c:v>4.7436296296296288</c:v>
                </c:pt>
                <c:pt idx="24">
                  <c:v>4.7436296296296288</c:v>
                </c:pt>
                <c:pt idx="25">
                  <c:v>4.7436296296296288</c:v>
                </c:pt>
                <c:pt idx="26">
                  <c:v>4.7436296296296288</c:v>
                </c:pt>
                <c:pt idx="27">
                  <c:v>4.7436296296296288</c:v>
                </c:pt>
                <c:pt idx="28">
                  <c:v>4.7436296296296288</c:v>
                </c:pt>
                <c:pt idx="29">
                  <c:v>4.7436296296296288</c:v>
                </c:pt>
                <c:pt idx="30">
                  <c:v>4.7436296296296288</c:v>
                </c:pt>
                <c:pt idx="31">
                  <c:v>4.7436296296296288</c:v>
                </c:pt>
                <c:pt idx="32">
                  <c:v>4.7436296296296288</c:v>
                </c:pt>
                <c:pt idx="33">
                  <c:v>4.7436296296296288</c:v>
                </c:pt>
                <c:pt idx="34">
                  <c:v>4.7436296296296288</c:v>
                </c:pt>
                <c:pt idx="35">
                  <c:v>4.7436296296296288</c:v>
                </c:pt>
                <c:pt idx="36">
                  <c:v>4.7436296296296288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(days)5'!$N$1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(days)5'!$N$2:$N$38</c:f>
              <c:numCache>
                <c:formatCode>0</c:formatCode>
                <c:ptCount val="37"/>
                <c:pt idx="1">
                  <c:v>7.9004999999999992</c:v>
                </c:pt>
                <c:pt idx="2">
                  <c:v>7.9004999999999992</c:v>
                </c:pt>
                <c:pt idx="3">
                  <c:v>7.9004999999999992</c:v>
                </c:pt>
                <c:pt idx="4">
                  <c:v>7.9004999999999992</c:v>
                </c:pt>
                <c:pt idx="5">
                  <c:v>7.9004999999999992</c:v>
                </c:pt>
                <c:pt idx="6">
                  <c:v>7.9004999999999992</c:v>
                </c:pt>
                <c:pt idx="7">
                  <c:v>7.9004999999999992</c:v>
                </c:pt>
                <c:pt idx="8">
                  <c:v>7.9004999999999992</c:v>
                </c:pt>
                <c:pt idx="9">
                  <c:v>7.9004999999999992</c:v>
                </c:pt>
                <c:pt idx="10">
                  <c:v>7.9004999999999992</c:v>
                </c:pt>
                <c:pt idx="11">
                  <c:v>7.9004999999999992</c:v>
                </c:pt>
                <c:pt idx="12">
                  <c:v>7.9004999999999992</c:v>
                </c:pt>
                <c:pt idx="13">
                  <c:v>7.9004999999999992</c:v>
                </c:pt>
                <c:pt idx="14">
                  <c:v>7.9004999999999992</c:v>
                </c:pt>
                <c:pt idx="15">
                  <c:v>7.9004999999999992</c:v>
                </c:pt>
                <c:pt idx="16">
                  <c:v>7.9004999999999992</c:v>
                </c:pt>
                <c:pt idx="18">
                  <c:v>3.316259259259259</c:v>
                </c:pt>
                <c:pt idx="19">
                  <c:v>3.316259259259259</c:v>
                </c:pt>
                <c:pt idx="20">
                  <c:v>3.316259259259259</c:v>
                </c:pt>
                <c:pt idx="21">
                  <c:v>3.316259259259259</c:v>
                </c:pt>
                <c:pt idx="22">
                  <c:v>3.316259259259259</c:v>
                </c:pt>
                <c:pt idx="23">
                  <c:v>3.316259259259259</c:v>
                </c:pt>
                <c:pt idx="24">
                  <c:v>3.316259259259259</c:v>
                </c:pt>
                <c:pt idx="25">
                  <c:v>3.316259259259259</c:v>
                </c:pt>
                <c:pt idx="26">
                  <c:v>3.316259259259259</c:v>
                </c:pt>
                <c:pt idx="27">
                  <c:v>3.316259259259259</c:v>
                </c:pt>
                <c:pt idx="28">
                  <c:v>3.316259259259259</c:v>
                </c:pt>
                <c:pt idx="29">
                  <c:v>3.316259259259259</c:v>
                </c:pt>
                <c:pt idx="30">
                  <c:v>3.316259259259259</c:v>
                </c:pt>
                <c:pt idx="31">
                  <c:v>3.316259259259259</c:v>
                </c:pt>
                <c:pt idx="32">
                  <c:v>3.316259259259259</c:v>
                </c:pt>
                <c:pt idx="33">
                  <c:v>3.316259259259259</c:v>
                </c:pt>
                <c:pt idx="34">
                  <c:v>3.316259259259259</c:v>
                </c:pt>
                <c:pt idx="35">
                  <c:v>3.316259259259259</c:v>
                </c:pt>
                <c:pt idx="36">
                  <c:v>3.316259259259259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(days)5'!$O$1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690673103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465564654365617E-2"/>
                  <c:y val="-1.0121925035493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(days)5'!$O$2:$O$38</c:f>
              <c:numCache>
                <c:formatCode>0</c:formatCode>
                <c:ptCount val="37"/>
                <c:pt idx="0">
                  <c:v>4.5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  <c:pt idx="6">
                  <c:v>4.5</c:v>
                </c:pt>
                <c:pt idx="7">
                  <c:v>4.5</c:v>
                </c:pt>
                <c:pt idx="8">
                  <c:v>4.5</c:v>
                </c:pt>
                <c:pt idx="9">
                  <c:v>4.5</c:v>
                </c:pt>
                <c:pt idx="10">
                  <c:v>4.5</c:v>
                </c:pt>
                <c:pt idx="11">
                  <c:v>4.5</c:v>
                </c:pt>
                <c:pt idx="12">
                  <c:v>4.5</c:v>
                </c:pt>
                <c:pt idx="13">
                  <c:v>4.5</c:v>
                </c:pt>
                <c:pt idx="14">
                  <c:v>4.5</c:v>
                </c:pt>
                <c:pt idx="15">
                  <c:v>4.5</c:v>
                </c:pt>
                <c:pt idx="16">
                  <c:v>4.5</c:v>
                </c:pt>
                <c:pt idx="18">
                  <c:v>1.8888888888888888</c:v>
                </c:pt>
                <c:pt idx="19">
                  <c:v>1.8888888888888888</c:v>
                </c:pt>
                <c:pt idx="20">
                  <c:v>1.8888888888888888</c:v>
                </c:pt>
                <c:pt idx="21">
                  <c:v>1.8888888888888888</c:v>
                </c:pt>
                <c:pt idx="22">
                  <c:v>1.8888888888888888</c:v>
                </c:pt>
                <c:pt idx="23">
                  <c:v>1.8888888888888888</c:v>
                </c:pt>
                <c:pt idx="24">
                  <c:v>1.8888888888888888</c:v>
                </c:pt>
                <c:pt idx="25">
                  <c:v>1.8888888888888888</c:v>
                </c:pt>
                <c:pt idx="26">
                  <c:v>1.8888888888888888</c:v>
                </c:pt>
                <c:pt idx="27">
                  <c:v>1.8888888888888888</c:v>
                </c:pt>
                <c:pt idx="28">
                  <c:v>1.8888888888888888</c:v>
                </c:pt>
                <c:pt idx="29">
                  <c:v>1.8888888888888888</c:v>
                </c:pt>
                <c:pt idx="30">
                  <c:v>1.8888888888888888</c:v>
                </c:pt>
                <c:pt idx="31">
                  <c:v>1.8888888888888888</c:v>
                </c:pt>
                <c:pt idx="32">
                  <c:v>1.8888888888888888</c:v>
                </c:pt>
                <c:pt idx="33">
                  <c:v>1.8888888888888888</c:v>
                </c:pt>
                <c:pt idx="34">
                  <c:v>1.8888888888888888</c:v>
                </c:pt>
                <c:pt idx="35">
                  <c:v>1.8888888888888888</c:v>
                </c:pt>
                <c:pt idx="36">
                  <c:v>1.8888888888888888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(days)5'!$P$1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(days)5'!$P$2:$P$38</c:f>
              <c:numCache>
                <c:formatCode>0</c:formatCode>
                <c:ptCount val="37"/>
                <c:pt idx="1">
                  <c:v>1.0995000000000004</c:v>
                </c:pt>
                <c:pt idx="2">
                  <c:v>1.0995000000000004</c:v>
                </c:pt>
                <c:pt idx="3">
                  <c:v>1.0995000000000004</c:v>
                </c:pt>
                <c:pt idx="4">
                  <c:v>1.0995000000000004</c:v>
                </c:pt>
                <c:pt idx="5">
                  <c:v>1.0995000000000004</c:v>
                </c:pt>
                <c:pt idx="6">
                  <c:v>1.0995000000000004</c:v>
                </c:pt>
                <c:pt idx="7">
                  <c:v>1.0995000000000004</c:v>
                </c:pt>
                <c:pt idx="8">
                  <c:v>1.0995000000000004</c:v>
                </c:pt>
                <c:pt idx="9">
                  <c:v>1.0995000000000004</c:v>
                </c:pt>
                <c:pt idx="10">
                  <c:v>1.0995000000000004</c:v>
                </c:pt>
                <c:pt idx="11">
                  <c:v>1.0995000000000004</c:v>
                </c:pt>
                <c:pt idx="12">
                  <c:v>1.0995000000000004</c:v>
                </c:pt>
                <c:pt idx="13">
                  <c:v>1.0995000000000004</c:v>
                </c:pt>
                <c:pt idx="14">
                  <c:v>1.0995000000000004</c:v>
                </c:pt>
                <c:pt idx="15">
                  <c:v>1.0995000000000004</c:v>
                </c:pt>
                <c:pt idx="16">
                  <c:v>1.0995000000000004</c:v>
                </c:pt>
                <c:pt idx="18">
                  <c:v>0.46151851851851888</c:v>
                </c:pt>
                <c:pt idx="19">
                  <c:v>0.46151851851851888</c:v>
                </c:pt>
                <c:pt idx="20">
                  <c:v>0.46151851851851888</c:v>
                </c:pt>
                <c:pt idx="21">
                  <c:v>0.46151851851851888</c:v>
                </c:pt>
                <c:pt idx="22">
                  <c:v>0.46151851851851888</c:v>
                </c:pt>
                <c:pt idx="23">
                  <c:v>0.46151851851851888</c:v>
                </c:pt>
                <c:pt idx="24">
                  <c:v>0.46151851851851888</c:v>
                </c:pt>
                <c:pt idx="25">
                  <c:v>0.46151851851851888</c:v>
                </c:pt>
                <c:pt idx="26">
                  <c:v>0.46151851851851888</c:v>
                </c:pt>
                <c:pt idx="27">
                  <c:v>0.46151851851851888</c:v>
                </c:pt>
                <c:pt idx="28">
                  <c:v>0.46151851851851888</c:v>
                </c:pt>
                <c:pt idx="29">
                  <c:v>0.46151851851851888</c:v>
                </c:pt>
                <c:pt idx="30">
                  <c:v>0.46151851851851888</c:v>
                </c:pt>
                <c:pt idx="31">
                  <c:v>0.46151851851851888</c:v>
                </c:pt>
                <c:pt idx="32">
                  <c:v>0.46151851851851888</c:v>
                </c:pt>
                <c:pt idx="33">
                  <c:v>0.46151851851851888</c:v>
                </c:pt>
                <c:pt idx="34">
                  <c:v>0.46151851851851888</c:v>
                </c:pt>
                <c:pt idx="35">
                  <c:v>0.46151851851851888</c:v>
                </c:pt>
                <c:pt idx="36">
                  <c:v>0.46151851851851888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(days)5'!$Q$1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(days)5'!$Q$2:$Q$38</c:f>
              <c:numCache>
                <c:formatCode>0</c:formatCode>
                <c:ptCount val="3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(days)5'!$R$1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(days)5'!$R$2:$R$38</c:f>
              <c:numCache>
                <c:formatCode>0</c:formatCode>
                <c:ptCount val="3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277120"/>
        <c:axId val="215294336"/>
      </c:lineChart>
      <c:catAx>
        <c:axId val="21427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215294336"/>
        <c:crosses val="autoZero"/>
        <c:auto val="0"/>
        <c:lblAlgn val="ctr"/>
        <c:lblOffset val="100"/>
        <c:noMultiLvlLbl val="0"/>
      </c:catAx>
      <c:valAx>
        <c:axId val="21529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2142771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(days)5'!$B$1</c:f>
              <c:strCache>
                <c:ptCount val="1"/>
                <c:pt idx="0">
                  <c:v>Length of stay (days)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26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27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28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29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30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31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32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3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(days)5'!$B$2:$B$38</c:f>
              <c:numCache>
                <c:formatCode>0</c:formatCode>
                <c:ptCount val="37"/>
                <c:pt idx="0">
                  <c:v>7</c:v>
                </c:pt>
                <c:pt idx="1">
                  <c:v>11</c:v>
                </c:pt>
                <c:pt idx="2">
                  <c:v>5</c:v>
                </c:pt>
                <c:pt idx="3">
                  <c:v>6</c:v>
                </c:pt>
                <c:pt idx="4">
                  <c:v>4</c:v>
                </c:pt>
                <c:pt idx="5">
                  <c:v>17</c:v>
                </c:pt>
                <c:pt idx="6">
                  <c:v>14</c:v>
                </c:pt>
                <c:pt idx="7">
                  <c:v>7</c:v>
                </c:pt>
                <c:pt idx="8">
                  <c:v>19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7</c:v>
                </c:pt>
                <c:pt idx="16">
                  <c:v>13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11</c:v>
                </c:pt>
                <c:pt idx="26">
                  <c:v>6</c:v>
                </c:pt>
                <c:pt idx="27">
                  <c:v>5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5</c:v>
                </c:pt>
                <c:pt idx="34">
                  <c:v>10</c:v>
                </c:pt>
                <c:pt idx="35">
                  <c:v>9</c:v>
                </c:pt>
                <c:pt idx="36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(days)5'!$C$1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(days)5'!$C$2:$C$38</c:f>
              <c:numCache>
                <c:formatCode>0</c:formatCode>
                <c:ptCount val="37"/>
                <c:pt idx="0">
                  <c:v>21.028823529411767</c:v>
                </c:pt>
                <c:pt idx="1">
                  <c:v>21.028823529411767</c:v>
                </c:pt>
                <c:pt idx="2">
                  <c:v>21.028823529411767</c:v>
                </c:pt>
                <c:pt idx="3">
                  <c:v>21.028823529411767</c:v>
                </c:pt>
                <c:pt idx="4">
                  <c:v>21.028823529411767</c:v>
                </c:pt>
                <c:pt idx="5">
                  <c:v>21.028823529411767</c:v>
                </c:pt>
                <c:pt idx="6">
                  <c:v>21.028823529411767</c:v>
                </c:pt>
                <c:pt idx="7">
                  <c:v>21.028823529411767</c:v>
                </c:pt>
                <c:pt idx="8">
                  <c:v>21.028823529411767</c:v>
                </c:pt>
                <c:pt idx="9">
                  <c:v>21.028823529411767</c:v>
                </c:pt>
                <c:pt idx="10">
                  <c:v>21.028823529411767</c:v>
                </c:pt>
                <c:pt idx="11">
                  <c:v>21.028823529411767</c:v>
                </c:pt>
                <c:pt idx="12">
                  <c:v>21.028823529411767</c:v>
                </c:pt>
                <c:pt idx="13">
                  <c:v>21.028823529411767</c:v>
                </c:pt>
                <c:pt idx="14">
                  <c:v>21.028823529411767</c:v>
                </c:pt>
                <c:pt idx="15">
                  <c:v>21.028823529411767</c:v>
                </c:pt>
                <c:pt idx="16">
                  <c:v>21.028823529411767</c:v>
                </c:pt>
                <c:pt idx="18">
                  <c:v>11.55076023391813</c:v>
                </c:pt>
                <c:pt idx="19">
                  <c:v>11.55076023391813</c:v>
                </c:pt>
                <c:pt idx="20">
                  <c:v>11.55076023391813</c:v>
                </c:pt>
                <c:pt idx="21">
                  <c:v>11.55076023391813</c:v>
                </c:pt>
                <c:pt idx="22">
                  <c:v>11.55076023391813</c:v>
                </c:pt>
                <c:pt idx="23">
                  <c:v>11.55076023391813</c:v>
                </c:pt>
                <c:pt idx="24">
                  <c:v>11.55076023391813</c:v>
                </c:pt>
                <c:pt idx="25">
                  <c:v>11.55076023391813</c:v>
                </c:pt>
                <c:pt idx="26">
                  <c:v>11.55076023391813</c:v>
                </c:pt>
                <c:pt idx="27">
                  <c:v>11.55076023391813</c:v>
                </c:pt>
                <c:pt idx="28">
                  <c:v>11.55076023391813</c:v>
                </c:pt>
                <c:pt idx="29">
                  <c:v>11.55076023391813</c:v>
                </c:pt>
                <c:pt idx="30">
                  <c:v>11.55076023391813</c:v>
                </c:pt>
                <c:pt idx="31">
                  <c:v>11.55076023391813</c:v>
                </c:pt>
                <c:pt idx="32">
                  <c:v>11.55076023391813</c:v>
                </c:pt>
                <c:pt idx="33">
                  <c:v>11.55076023391813</c:v>
                </c:pt>
                <c:pt idx="34">
                  <c:v>11.55076023391813</c:v>
                </c:pt>
                <c:pt idx="35">
                  <c:v>11.55076023391813</c:v>
                </c:pt>
                <c:pt idx="36">
                  <c:v>11.55076023391813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(days)5'!$D$1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(days)5'!$D$2:$D$38</c:f>
              <c:numCache>
                <c:formatCode>0</c:formatCode>
                <c:ptCount val="37"/>
                <c:pt idx="0">
                  <c:v>17.038823529411765</c:v>
                </c:pt>
                <c:pt idx="1">
                  <c:v>17.038823529411765</c:v>
                </c:pt>
                <c:pt idx="2">
                  <c:v>17.038823529411765</c:v>
                </c:pt>
                <c:pt idx="3">
                  <c:v>17.038823529411765</c:v>
                </c:pt>
                <c:pt idx="4">
                  <c:v>17.038823529411765</c:v>
                </c:pt>
                <c:pt idx="5">
                  <c:v>17.038823529411765</c:v>
                </c:pt>
                <c:pt idx="6">
                  <c:v>17.038823529411765</c:v>
                </c:pt>
                <c:pt idx="7">
                  <c:v>17.038823529411765</c:v>
                </c:pt>
                <c:pt idx="8">
                  <c:v>17.038823529411765</c:v>
                </c:pt>
                <c:pt idx="9">
                  <c:v>17.038823529411765</c:v>
                </c:pt>
                <c:pt idx="10">
                  <c:v>17.038823529411765</c:v>
                </c:pt>
                <c:pt idx="11">
                  <c:v>17.038823529411765</c:v>
                </c:pt>
                <c:pt idx="12">
                  <c:v>17.038823529411765</c:v>
                </c:pt>
                <c:pt idx="13">
                  <c:v>17.038823529411765</c:v>
                </c:pt>
                <c:pt idx="14">
                  <c:v>17.038823529411765</c:v>
                </c:pt>
                <c:pt idx="15">
                  <c:v>17.038823529411765</c:v>
                </c:pt>
                <c:pt idx="16">
                  <c:v>17.038823529411765</c:v>
                </c:pt>
                <c:pt idx="18">
                  <c:v>9.8759454191033136</c:v>
                </c:pt>
                <c:pt idx="19">
                  <c:v>9.8759454191033136</c:v>
                </c:pt>
                <c:pt idx="20">
                  <c:v>9.8759454191033136</c:v>
                </c:pt>
                <c:pt idx="21">
                  <c:v>9.8759454191033136</c:v>
                </c:pt>
                <c:pt idx="22">
                  <c:v>9.8759454191033136</c:v>
                </c:pt>
                <c:pt idx="23">
                  <c:v>9.8759454191033136</c:v>
                </c:pt>
                <c:pt idx="24">
                  <c:v>9.8759454191033136</c:v>
                </c:pt>
                <c:pt idx="25">
                  <c:v>9.8759454191033136</c:v>
                </c:pt>
                <c:pt idx="26">
                  <c:v>9.8759454191033136</c:v>
                </c:pt>
                <c:pt idx="27">
                  <c:v>9.8759454191033136</c:v>
                </c:pt>
                <c:pt idx="28">
                  <c:v>9.8759454191033136</c:v>
                </c:pt>
                <c:pt idx="29">
                  <c:v>9.8759454191033136</c:v>
                </c:pt>
                <c:pt idx="30">
                  <c:v>9.8759454191033136</c:v>
                </c:pt>
                <c:pt idx="31">
                  <c:v>9.8759454191033136</c:v>
                </c:pt>
                <c:pt idx="32">
                  <c:v>9.8759454191033136</c:v>
                </c:pt>
                <c:pt idx="33">
                  <c:v>9.8759454191033136</c:v>
                </c:pt>
                <c:pt idx="34">
                  <c:v>9.8759454191033136</c:v>
                </c:pt>
                <c:pt idx="35">
                  <c:v>9.8759454191033136</c:v>
                </c:pt>
                <c:pt idx="36">
                  <c:v>9.8759454191033136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(days)5'!$E$1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(days)5'!$E$2:$E$38</c:f>
              <c:numCache>
                <c:formatCode>0</c:formatCode>
                <c:ptCount val="37"/>
                <c:pt idx="0">
                  <c:v>13.048823529411765</c:v>
                </c:pt>
                <c:pt idx="1">
                  <c:v>13.048823529411765</c:v>
                </c:pt>
                <c:pt idx="2">
                  <c:v>13.048823529411765</c:v>
                </c:pt>
                <c:pt idx="3">
                  <c:v>13.048823529411765</c:v>
                </c:pt>
                <c:pt idx="4">
                  <c:v>13.048823529411765</c:v>
                </c:pt>
                <c:pt idx="5">
                  <c:v>13.048823529411765</c:v>
                </c:pt>
                <c:pt idx="6">
                  <c:v>13.048823529411765</c:v>
                </c:pt>
                <c:pt idx="7">
                  <c:v>13.048823529411765</c:v>
                </c:pt>
                <c:pt idx="8">
                  <c:v>13.048823529411765</c:v>
                </c:pt>
                <c:pt idx="9">
                  <c:v>13.048823529411765</c:v>
                </c:pt>
                <c:pt idx="10">
                  <c:v>13.048823529411765</c:v>
                </c:pt>
                <c:pt idx="11">
                  <c:v>13.048823529411765</c:v>
                </c:pt>
                <c:pt idx="12">
                  <c:v>13.048823529411765</c:v>
                </c:pt>
                <c:pt idx="13">
                  <c:v>13.048823529411765</c:v>
                </c:pt>
                <c:pt idx="14">
                  <c:v>13.048823529411765</c:v>
                </c:pt>
                <c:pt idx="15">
                  <c:v>13.048823529411765</c:v>
                </c:pt>
                <c:pt idx="16">
                  <c:v>13.048823529411765</c:v>
                </c:pt>
                <c:pt idx="18">
                  <c:v>8.2011306042884993</c:v>
                </c:pt>
                <c:pt idx="19">
                  <c:v>8.2011306042884993</c:v>
                </c:pt>
                <c:pt idx="20">
                  <c:v>8.2011306042884993</c:v>
                </c:pt>
                <c:pt idx="21">
                  <c:v>8.2011306042884993</c:v>
                </c:pt>
                <c:pt idx="22">
                  <c:v>8.2011306042884993</c:v>
                </c:pt>
                <c:pt idx="23">
                  <c:v>8.2011306042884993</c:v>
                </c:pt>
                <c:pt idx="24">
                  <c:v>8.2011306042884993</c:v>
                </c:pt>
                <c:pt idx="25">
                  <c:v>8.2011306042884993</c:v>
                </c:pt>
                <c:pt idx="26">
                  <c:v>8.2011306042884993</c:v>
                </c:pt>
                <c:pt idx="27">
                  <c:v>8.2011306042884993</c:v>
                </c:pt>
                <c:pt idx="28">
                  <c:v>8.2011306042884993</c:v>
                </c:pt>
                <c:pt idx="29">
                  <c:v>8.2011306042884993</c:v>
                </c:pt>
                <c:pt idx="30">
                  <c:v>8.2011306042884993</c:v>
                </c:pt>
                <c:pt idx="31">
                  <c:v>8.2011306042884993</c:v>
                </c:pt>
                <c:pt idx="32">
                  <c:v>8.2011306042884993</c:v>
                </c:pt>
                <c:pt idx="33">
                  <c:v>8.2011306042884993</c:v>
                </c:pt>
                <c:pt idx="34">
                  <c:v>8.2011306042884993</c:v>
                </c:pt>
                <c:pt idx="35">
                  <c:v>8.2011306042884993</c:v>
                </c:pt>
                <c:pt idx="36">
                  <c:v>8.2011306042884993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(days)5'!$F$1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465564654365617E-2"/>
                  <c:y val="-1.012176563760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465564654365617E-2"/>
                  <c:y val="-2.024369067310379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(days)5'!$F$2:$F$38</c:f>
              <c:numCache>
                <c:formatCode>0</c:formatCode>
                <c:ptCount val="37"/>
                <c:pt idx="0">
                  <c:v>9.0588235294117645</c:v>
                </c:pt>
                <c:pt idx="1">
                  <c:v>9.0588235294117645</c:v>
                </c:pt>
                <c:pt idx="2">
                  <c:v>9.0588235294117645</c:v>
                </c:pt>
                <c:pt idx="3">
                  <c:v>9.0588235294117645</c:v>
                </c:pt>
                <c:pt idx="4">
                  <c:v>9.0588235294117645</c:v>
                </c:pt>
                <c:pt idx="5">
                  <c:v>9.0588235294117645</c:v>
                </c:pt>
                <c:pt idx="6">
                  <c:v>9.0588235294117645</c:v>
                </c:pt>
                <c:pt idx="7">
                  <c:v>9.0588235294117645</c:v>
                </c:pt>
                <c:pt idx="8">
                  <c:v>9.0588235294117645</c:v>
                </c:pt>
                <c:pt idx="9">
                  <c:v>9.0588235294117645</c:v>
                </c:pt>
                <c:pt idx="10">
                  <c:v>9.0588235294117645</c:v>
                </c:pt>
                <c:pt idx="11">
                  <c:v>9.0588235294117645</c:v>
                </c:pt>
                <c:pt idx="12">
                  <c:v>9.0588235294117645</c:v>
                </c:pt>
                <c:pt idx="13">
                  <c:v>9.0588235294117645</c:v>
                </c:pt>
                <c:pt idx="14">
                  <c:v>9.0588235294117645</c:v>
                </c:pt>
                <c:pt idx="15">
                  <c:v>9.0588235294117645</c:v>
                </c:pt>
                <c:pt idx="16">
                  <c:v>9.0588235294117645</c:v>
                </c:pt>
                <c:pt idx="18">
                  <c:v>6.5263157894736841</c:v>
                </c:pt>
                <c:pt idx="19">
                  <c:v>6.5263157894736841</c:v>
                </c:pt>
                <c:pt idx="20">
                  <c:v>6.5263157894736841</c:v>
                </c:pt>
                <c:pt idx="21">
                  <c:v>6.5263157894736841</c:v>
                </c:pt>
                <c:pt idx="22">
                  <c:v>6.5263157894736841</c:v>
                </c:pt>
                <c:pt idx="23">
                  <c:v>6.5263157894736841</c:v>
                </c:pt>
                <c:pt idx="24">
                  <c:v>6.5263157894736841</c:v>
                </c:pt>
                <c:pt idx="25">
                  <c:v>6.5263157894736841</c:v>
                </c:pt>
                <c:pt idx="26">
                  <c:v>6.5263157894736841</c:v>
                </c:pt>
                <c:pt idx="27">
                  <c:v>6.5263157894736841</c:v>
                </c:pt>
                <c:pt idx="28">
                  <c:v>6.5263157894736841</c:v>
                </c:pt>
                <c:pt idx="29">
                  <c:v>6.5263157894736841</c:v>
                </c:pt>
                <c:pt idx="30">
                  <c:v>6.5263157894736841</c:v>
                </c:pt>
                <c:pt idx="31">
                  <c:v>6.5263157894736841</c:v>
                </c:pt>
                <c:pt idx="32">
                  <c:v>6.5263157894736841</c:v>
                </c:pt>
                <c:pt idx="33">
                  <c:v>6.5263157894736841</c:v>
                </c:pt>
                <c:pt idx="34">
                  <c:v>6.5263157894736841</c:v>
                </c:pt>
                <c:pt idx="35">
                  <c:v>6.5263157894736841</c:v>
                </c:pt>
                <c:pt idx="36">
                  <c:v>6.5263157894736841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(days)5'!$G$1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(days)5'!$G$2:$G$38</c:f>
              <c:numCache>
                <c:formatCode>0</c:formatCode>
                <c:ptCount val="37"/>
                <c:pt idx="0">
                  <c:v>5.0688235294117643</c:v>
                </c:pt>
                <c:pt idx="1">
                  <c:v>5.0688235294117643</c:v>
                </c:pt>
                <c:pt idx="2">
                  <c:v>5.0688235294117643</c:v>
                </c:pt>
                <c:pt idx="3">
                  <c:v>5.0688235294117643</c:v>
                </c:pt>
                <c:pt idx="4">
                  <c:v>5.0688235294117643</c:v>
                </c:pt>
                <c:pt idx="5">
                  <c:v>5.0688235294117643</c:v>
                </c:pt>
                <c:pt idx="6">
                  <c:v>5.0688235294117643</c:v>
                </c:pt>
                <c:pt idx="7">
                  <c:v>5.0688235294117643</c:v>
                </c:pt>
                <c:pt idx="8">
                  <c:v>5.0688235294117643</c:v>
                </c:pt>
                <c:pt idx="9">
                  <c:v>5.0688235294117643</c:v>
                </c:pt>
                <c:pt idx="10">
                  <c:v>5.0688235294117643</c:v>
                </c:pt>
                <c:pt idx="11">
                  <c:v>5.0688235294117643</c:v>
                </c:pt>
                <c:pt idx="12">
                  <c:v>5.0688235294117643</c:v>
                </c:pt>
                <c:pt idx="13">
                  <c:v>5.0688235294117643</c:v>
                </c:pt>
                <c:pt idx="14">
                  <c:v>5.0688235294117643</c:v>
                </c:pt>
                <c:pt idx="15">
                  <c:v>5.0688235294117643</c:v>
                </c:pt>
                <c:pt idx="16">
                  <c:v>5.0688235294117643</c:v>
                </c:pt>
                <c:pt idx="18">
                  <c:v>4.8515009746588689</c:v>
                </c:pt>
                <c:pt idx="19">
                  <c:v>4.8515009746588689</c:v>
                </c:pt>
                <c:pt idx="20">
                  <c:v>4.8515009746588689</c:v>
                </c:pt>
                <c:pt idx="21">
                  <c:v>4.8515009746588689</c:v>
                </c:pt>
                <c:pt idx="22">
                  <c:v>4.8515009746588689</c:v>
                </c:pt>
                <c:pt idx="23">
                  <c:v>4.8515009746588689</c:v>
                </c:pt>
                <c:pt idx="24">
                  <c:v>4.8515009746588689</c:v>
                </c:pt>
                <c:pt idx="25">
                  <c:v>4.8515009746588689</c:v>
                </c:pt>
                <c:pt idx="26">
                  <c:v>4.8515009746588689</c:v>
                </c:pt>
                <c:pt idx="27">
                  <c:v>4.8515009746588689</c:v>
                </c:pt>
                <c:pt idx="28">
                  <c:v>4.8515009746588689</c:v>
                </c:pt>
                <c:pt idx="29">
                  <c:v>4.8515009746588689</c:v>
                </c:pt>
                <c:pt idx="30">
                  <c:v>4.8515009746588689</c:v>
                </c:pt>
                <c:pt idx="31">
                  <c:v>4.8515009746588689</c:v>
                </c:pt>
                <c:pt idx="32">
                  <c:v>4.8515009746588689</c:v>
                </c:pt>
                <c:pt idx="33">
                  <c:v>4.8515009746588689</c:v>
                </c:pt>
                <c:pt idx="34">
                  <c:v>4.8515009746588689</c:v>
                </c:pt>
                <c:pt idx="35">
                  <c:v>4.8515009746588689</c:v>
                </c:pt>
                <c:pt idx="36">
                  <c:v>4.8515009746588689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(days)5'!$H$1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(days)5'!$H$2:$H$38</c:f>
              <c:numCache>
                <c:formatCode>0</c:formatCode>
                <c:ptCount val="37"/>
                <c:pt idx="0">
                  <c:v>1.0788235294117641</c:v>
                </c:pt>
                <c:pt idx="1">
                  <c:v>1.0788235294117641</c:v>
                </c:pt>
                <c:pt idx="2">
                  <c:v>1.0788235294117641</c:v>
                </c:pt>
                <c:pt idx="3">
                  <c:v>1.0788235294117641</c:v>
                </c:pt>
                <c:pt idx="4">
                  <c:v>1.0788235294117641</c:v>
                </c:pt>
                <c:pt idx="5">
                  <c:v>1.0788235294117641</c:v>
                </c:pt>
                <c:pt idx="6">
                  <c:v>1.0788235294117641</c:v>
                </c:pt>
                <c:pt idx="7">
                  <c:v>1.0788235294117641</c:v>
                </c:pt>
                <c:pt idx="8">
                  <c:v>1.0788235294117641</c:v>
                </c:pt>
                <c:pt idx="9">
                  <c:v>1.0788235294117641</c:v>
                </c:pt>
                <c:pt idx="10">
                  <c:v>1.0788235294117641</c:v>
                </c:pt>
                <c:pt idx="11">
                  <c:v>1.0788235294117641</c:v>
                </c:pt>
                <c:pt idx="12">
                  <c:v>1.0788235294117641</c:v>
                </c:pt>
                <c:pt idx="13">
                  <c:v>1.0788235294117641</c:v>
                </c:pt>
                <c:pt idx="14">
                  <c:v>1.0788235294117641</c:v>
                </c:pt>
                <c:pt idx="15">
                  <c:v>1.0788235294117641</c:v>
                </c:pt>
                <c:pt idx="16">
                  <c:v>1.0788235294117641</c:v>
                </c:pt>
                <c:pt idx="18">
                  <c:v>3.1766861598440546</c:v>
                </c:pt>
                <c:pt idx="19">
                  <c:v>3.1766861598440546</c:v>
                </c:pt>
                <c:pt idx="20">
                  <c:v>3.1766861598440546</c:v>
                </c:pt>
                <c:pt idx="21">
                  <c:v>3.1766861598440546</c:v>
                </c:pt>
                <c:pt idx="22">
                  <c:v>3.1766861598440546</c:v>
                </c:pt>
                <c:pt idx="23">
                  <c:v>3.1766861598440546</c:v>
                </c:pt>
                <c:pt idx="24">
                  <c:v>3.1766861598440546</c:v>
                </c:pt>
                <c:pt idx="25">
                  <c:v>3.1766861598440546</c:v>
                </c:pt>
                <c:pt idx="26">
                  <c:v>3.1766861598440546</c:v>
                </c:pt>
                <c:pt idx="27">
                  <c:v>3.1766861598440546</c:v>
                </c:pt>
                <c:pt idx="28">
                  <c:v>3.1766861598440546</c:v>
                </c:pt>
                <c:pt idx="29">
                  <c:v>3.1766861598440546</c:v>
                </c:pt>
                <c:pt idx="30">
                  <c:v>3.1766861598440546</c:v>
                </c:pt>
                <c:pt idx="31">
                  <c:v>3.1766861598440546</c:v>
                </c:pt>
                <c:pt idx="32">
                  <c:v>3.1766861598440546</c:v>
                </c:pt>
                <c:pt idx="33">
                  <c:v>3.1766861598440546</c:v>
                </c:pt>
                <c:pt idx="34">
                  <c:v>3.1766861598440546</c:v>
                </c:pt>
                <c:pt idx="35">
                  <c:v>3.1766861598440546</c:v>
                </c:pt>
                <c:pt idx="36">
                  <c:v>3.1766861598440546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(days)5'!$I$1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(days)5'!$I$2:$I$38</c:f>
              <c:numCache>
                <c:formatCode>0</c:formatCode>
                <c:ptCount val="37"/>
                <c:pt idx="0">
                  <c:v>-2.9111764705882361</c:v>
                </c:pt>
                <c:pt idx="1">
                  <c:v>-2.9111764705882361</c:v>
                </c:pt>
                <c:pt idx="2">
                  <c:v>-2.9111764705882361</c:v>
                </c:pt>
                <c:pt idx="3">
                  <c:v>-2.9111764705882361</c:v>
                </c:pt>
                <c:pt idx="4">
                  <c:v>-2.9111764705882361</c:v>
                </c:pt>
                <c:pt idx="5">
                  <c:v>-2.9111764705882361</c:v>
                </c:pt>
                <c:pt idx="6">
                  <c:v>-2.9111764705882361</c:v>
                </c:pt>
                <c:pt idx="7">
                  <c:v>-2.9111764705882361</c:v>
                </c:pt>
                <c:pt idx="8">
                  <c:v>-2.9111764705882361</c:v>
                </c:pt>
                <c:pt idx="9">
                  <c:v>-2.9111764705882361</c:v>
                </c:pt>
                <c:pt idx="10">
                  <c:v>-2.9111764705882361</c:v>
                </c:pt>
                <c:pt idx="11">
                  <c:v>-2.9111764705882361</c:v>
                </c:pt>
                <c:pt idx="12">
                  <c:v>-2.9111764705882361</c:v>
                </c:pt>
                <c:pt idx="13">
                  <c:v>-2.9111764705882361</c:v>
                </c:pt>
                <c:pt idx="14">
                  <c:v>-2.9111764705882361</c:v>
                </c:pt>
                <c:pt idx="15">
                  <c:v>-2.9111764705882361</c:v>
                </c:pt>
                <c:pt idx="16">
                  <c:v>-2.9111764705882361</c:v>
                </c:pt>
                <c:pt idx="18">
                  <c:v>1.5018713450292394</c:v>
                </c:pt>
                <c:pt idx="19">
                  <c:v>1.5018713450292394</c:v>
                </c:pt>
                <c:pt idx="20">
                  <c:v>1.5018713450292394</c:v>
                </c:pt>
                <c:pt idx="21">
                  <c:v>1.5018713450292394</c:v>
                </c:pt>
                <c:pt idx="22">
                  <c:v>1.5018713450292394</c:v>
                </c:pt>
                <c:pt idx="23">
                  <c:v>1.5018713450292394</c:v>
                </c:pt>
                <c:pt idx="24">
                  <c:v>1.5018713450292394</c:v>
                </c:pt>
                <c:pt idx="25">
                  <c:v>1.5018713450292394</c:v>
                </c:pt>
                <c:pt idx="26">
                  <c:v>1.5018713450292394</c:v>
                </c:pt>
                <c:pt idx="27">
                  <c:v>1.5018713450292394</c:v>
                </c:pt>
                <c:pt idx="28">
                  <c:v>1.5018713450292394</c:v>
                </c:pt>
                <c:pt idx="29">
                  <c:v>1.5018713450292394</c:v>
                </c:pt>
                <c:pt idx="30">
                  <c:v>1.5018713450292394</c:v>
                </c:pt>
                <c:pt idx="31">
                  <c:v>1.5018713450292394</c:v>
                </c:pt>
                <c:pt idx="32">
                  <c:v>1.5018713450292394</c:v>
                </c:pt>
                <c:pt idx="33">
                  <c:v>1.5018713450292394</c:v>
                </c:pt>
                <c:pt idx="34">
                  <c:v>1.5018713450292394</c:v>
                </c:pt>
                <c:pt idx="35">
                  <c:v>1.5018713450292394</c:v>
                </c:pt>
                <c:pt idx="36">
                  <c:v>1.5018713450292394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875840"/>
        <c:axId val="225877376"/>
      </c:lineChart>
      <c:catAx>
        <c:axId val="22587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225877376"/>
        <c:crossesAt val="-5"/>
        <c:auto val="0"/>
        <c:lblAlgn val="ctr"/>
        <c:lblOffset val="100"/>
        <c:noMultiLvlLbl val="0"/>
      </c:catAx>
      <c:valAx>
        <c:axId val="22587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Length of stay (days)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2258758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(days)5'!$K$1</c:f>
              <c:strCache>
                <c:ptCount val="1"/>
                <c:pt idx="0">
                  <c:v>Range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(days)5'!$K$2:$K$38</c:f>
              <c:numCache>
                <c:formatCode>0</c:formatCode>
                <c:ptCount val="37"/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  <c:pt idx="5">
                  <c:v>13</c:v>
                </c:pt>
                <c:pt idx="6">
                  <c:v>3</c:v>
                </c:pt>
                <c:pt idx="7">
                  <c:v>7</c:v>
                </c:pt>
                <c:pt idx="8">
                  <c:v>12</c:v>
                </c:pt>
                <c:pt idx="9">
                  <c:v>8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2</c:v>
                </c:pt>
                <c:pt idx="16">
                  <c:v>6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1</c:v>
                </c:pt>
                <c:pt idx="36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(days)5'!$L$1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465564654365617E-2"/>
                  <c:y val="-1.0121765637609848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(days)5'!$L$2:$L$38</c:f>
              <c:numCache>
                <c:formatCode>0</c:formatCode>
                <c:ptCount val="37"/>
                <c:pt idx="1">
                  <c:v>14.701499999999999</c:v>
                </c:pt>
                <c:pt idx="2">
                  <c:v>14.701499999999999</c:v>
                </c:pt>
                <c:pt idx="3">
                  <c:v>14.701499999999999</c:v>
                </c:pt>
                <c:pt idx="4">
                  <c:v>14.701499999999999</c:v>
                </c:pt>
                <c:pt idx="5">
                  <c:v>14.701499999999999</c:v>
                </c:pt>
                <c:pt idx="6">
                  <c:v>14.701499999999999</c:v>
                </c:pt>
                <c:pt idx="7">
                  <c:v>14.701499999999999</c:v>
                </c:pt>
                <c:pt idx="8">
                  <c:v>14.701499999999999</c:v>
                </c:pt>
                <c:pt idx="9">
                  <c:v>14.701499999999999</c:v>
                </c:pt>
                <c:pt idx="10">
                  <c:v>14.701499999999999</c:v>
                </c:pt>
                <c:pt idx="11">
                  <c:v>14.701499999999999</c:v>
                </c:pt>
                <c:pt idx="12">
                  <c:v>14.701499999999999</c:v>
                </c:pt>
                <c:pt idx="13">
                  <c:v>14.701499999999999</c:v>
                </c:pt>
                <c:pt idx="14">
                  <c:v>14.701499999999999</c:v>
                </c:pt>
                <c:pt idx="15">
                  <c:v>14.701499999999999</c:v>
                </c:pt>
                <c:pt idx="16">
                  <c:v>14.701499999999999</c:v>
                </c:pt>
                <c:pt idx="18">
                  <c:v>6.1709999999999994</c:v>
                </c:pt>
                <c:pt idx="19">
                  <c:v>6.1709999999999994</c:v>
                </c:pt>
                <c:pt idx="20">
                  <c:v>6.1709999999999994</c:v>
                </c:pt>
                <c:pt idx="21">
                  <c:v>6.1709999999999994</c:v>
                </c:pt>
                <c:pt idx="22">
                  <c:v>6.1709999999999994</c:v>
                </c:pt>
                <c:pt idx="23">
                  <c:v>6.1709999999999994</c:v>
                </c:pt>
                <c:pt idx="24">
                  <c:v>6.1709999999999994</c:v>
                </c:pt>
                <c:pt idx="25">
                  <c:v>6.1709999999999994</c:v>
                </c:pt>
                <c:pt idx="26">
                  <c:v>6.1709999999999994</c:v>
                </c:pt>
                <c:pt idx="27">
                  <c:v>6.1709999999999994</c:v>
                </c:pt>
                <c:pt idx="28">
                  <c:v>6.1709999999999994</c:v>
                </c:pt>
                <c:pt idx="29">
                  <c:v>6.1709999999999994</c:v>
                </c:pt>
                <c:pt idx="30">
                  <c:v>6.1709999999999994</c:v>
                </c:pt>
                <c:pt idx="31">
                  <c:v>6.1709999999999994</c:v>
                </c:pt>
                <c:pt idx="32">
                  <c:v>6.1709999999999994</c:v>
                </c:pt>
                <c:pt idx="33">
                  <c:v>6.1709999999999994</c:v>
                </c:pt>
                <c:pt idx="34">
                  <c:v>6.1709999999999994</c:v>
                </c:pt>
                <c:pt idx="35">
                  <c:v>6.1709999999999994</c:v>
                </c:pt>
                <c:pt idx="36">
                  <c:v>6.1709999999999994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(days)5'!$M$1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(days)5'!$M$2:$M$38</c:f>
              <c:numCache>
                <c:formatCode>0</c:formatCode>
                <c:ptCount val="37"/>
                <c:pt idx="1">
                  <c:v>11.300999999999998</c:v>
                </c:pt>
                <c:pt idx="2">
                  <c:v>11.300999999999998</c:v>
                </c:pt>
                <c:pt idx="3">
                  <c:v>11.300999999999998</c:v>
                </c:pt>
                <c:pt idx="4">
                  <c:v>11.300999999999998</c:v>
                </c:pt>
                <c:pt idx="5">
                  <c:v>11.300999999999998</c:v>
                </c:pt>
                <c:pt idx="6">
                  <c:v>11.300999999999998</c:v>
                </c:pt>
                <c:pt idx="7">
                  <c:v>11.300999999999998</c:v>
                </c:pt>
                <c:pt idx="8">
                  <c:v>11.300999999999998</c:v>
                </c:pt>
                <c:pt idx="9">
                  <c:v>11.300999999999998</c:v>
                </c:pt>
                <c:pt idx="10">
                  <c:v>11.300999999999998</c:v>
                </c:pt>
                <c:pt idx="11">
                  <c:v>11.300999999999998</c:v>
                </c:pt>
                <c:pt idx="12">
                  <c:v>11.300999999999998</c:v>
                </c:pt>
                <c:pt idx="13">
                  <c:v>11.300999999999998</c:v>
                </c:pt>
                <c:pt idx="14">
                  <c:v>11.300999999999998</c:v>
                </c:pt>
                <c:pt idx="15">
                  <c:v>11.300999999999998</c:v>
                </c:pt>
                <c:pt idx="16">
                  <c:v>11.300999999999998</c:v>
                </c:pt>
                <c:pt idx="18">
                  <c:v>4.7436296296296288</c:v>
                </c:pt>
                <c:pt idx="19">
                  <c:v>4.7436296296296288</c:v>
                </c:pt>
                <c:pt idx="20">
                  <c:v>4.7436296296296288</c:v>
                </c:pt>
                <c:pt idx="21">
                  <c:v>4.7436296296296288</c:v>
                </c:pt>
                <c:pt idx="22">
                  <c:v>4.7436296296296288</c:v>
                </c:pt>
                <c:pt idx="23">
                  <c:v>4.7436296296296288</c:v>
                </c:pt>
                <c:pt idx="24">
                  <c:v>4.7436296296296288</c:v>
                </c:pt>
                <c:pt idx="25">
                  <c:v>4.7436296296296288</c:v>
                </c:pt>
                <c:pt idx="26">
                  <c:v>4.7436296296296288</c:v>
                </c:pt>
                <c:pt idx="27">
                  <c:v>4.7436296296296288</c:v>
                </c:pt>
                <c:pt idx="28">
                  <c:v>4.7436296296296288</c:v>
                </c:pt>
                <c:pt idx="29">
                  <c:v>4.7436296296296288</c:v>
                </c:pt>
                <c:pt idx="30">
                  <c:v>4.7436296296296288</c:v>
                </c:pt>
                <c:pt idx="31">
                  <c:v>4.7436296296296288</c:v>
                </c:pt>
                <c:pt idx="32">
                  <c:v>4.7436296296296288</c:v>
                </c:pt>
                <c:pt idx="33">
                  <c:v>4.7436296296296288</c:v>
                </c:pt>
                <c:pt idx="34">
                  <c:v>4.7436296296296288</c:v>
                </c:pt>
                <c:pt idx="35">
                  <c:v>4.7436296296296288</c:v>
                </c:pt>
                <c:pt idx="36">
                  <c:v>4.7436296296296288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(days)5'!$N$1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(days)5'!$N$2:$N$38</c:f>
              <c:numCache>
                <c:formatCode>0</c:formatCode>
                <c:ptCount val="37"/>
                <c:pt idx="1">
                  <c:v>7.9004999999999992</c:v>
                </c:pt>
                <c:pt idx="2">
                  <c:v>7.9004999999999992</c:v>
                </c:pt>
                <c:pt idx="3">
                  <c:v>7.9004999999999992</c:v>
                </c:pt>
                <c:pt idx="4">
                  <c:v>7.9004999999999992</c:v>
                </c:pt>
                <c:pt idx="5">
                  <c:v>7.9004999999999992</c:v>
                </c:pt>
                <c:pt idx="6">
                  <c:v>7.9004999999999992</c:v>
                </c:pt>
                <c:pt idx="7">
                  <c:v>7.9004999999999992</c:v>
                </c:pt>
                <c:pt idx="8">
                  <c:v>7.9004999999999992</c:v>
                </c:pt>
                <c:pt idx="9">
                  <c:v>7.9004999999999992</c:v>
                </c:pt>
                <c:pt idx="10">
                  <c:v>7.9004999999999992</c:v>
                </c:pt>
                <c:pt idx="11">
                  <c:v>7.9004999999999992</c:v>
                </c:pt>
                <c:pt idx="12">
                  <c:v>7.9004999999999992</c:v>
                </c:pt>
                <c:pt idx="13">
                  <c:v>7.9004999999999992</c:v>
                </c:pt>
                <c:pt idx="14">
                  <c:v>7.9004999999999992</c:v>
                </c:pt>
                <c:pt idx="15">
                  <c:v>7.9004999999999992</c:v>
                </c:pt>
                <c:pt idx="16">
                  <c:v>7.9004999999999992</c:v>
                </c:pt>
                <c:pt idx="18">
                  <c:v>3.316259259259259</c:v>
                </c:pt>
                <c:pt idx="19">
                  <c:v>3.316259259259259</c:v>
                </c:pt>
                <c:pt idx="20">
                  <c:v>3.316259259259259</c:v>
                </c:pt>
                <c:pt idx="21">
                  <c:v>3.316259259259259</c:v>
                </c:pt>
                <c:pt idx="22">
                  <c:v>3.316259259259259</c:v>
                </c:pt>
                <c:pt idx="23">
                  <c:v>3.316259259259259</c:v>
                </c:pt>
                <c:pt idx="24">
                  <c:v>3.316259259259259</c:v>
                </c:pt>
                <c:pt idx="25">
                  <c:v>3.316259259259259</c:v>
                </c:pt>
                <c:pt idx="26">
                  <c:v>3.316259259259259</c:v>
                </c:pt>
                <c:pt idx="27">
                  <c:v>3.316259259259259</c:v>
                </c:pt>
                <c:pt idx="28">
                  <c:v>3.316259259259259</c:v>
                </c:pt>
                <c:pt idx="29">
                  <c:v>3.316259259259259</c:v>
                </c:pt>
                <c:pt idx="30">
                  <c:v>3.316259259259259</c:v>
                </c:pt>
                <c:pt idx="31">
                  <c:v>3.316259259259259</c:v>
                </c:pt>
                <c:pt idx="32">
                  <c:v>3.316259259259259</c:v>
                </c:pt>
                <c:pt idx="33">
                  <c:v>3.316259259259259</c:v>
                </c:pt>
                <c:pt idx="34">
                  <c:v>3.316259259259259</c:v>
                </c:pt>
                <c:pt idx="35">
                  <c:v>3.316259259259259</c:v>
                </c:pt>
                <c:pt idx="36">
                  <c:v>3.316259259259259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(days)5'!$O$1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690673103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465564654365617E-2"/>
                  <c:y val="-1.0121925035493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(days)5'!$O$2:$O$38</c:f>
              <c:numCache>
                <c:formatCode>0</c:formatCode>
                <c:ptCount val="37"/>
                <c:pt idx="0">
                  <c:v>4.5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  <c:pt idx="6">
                  <c:v>4.5</c:v>
                </c:pt>
                <c:pt idx="7">
                  <c:v>4.5</c:v>
                </c:pt>
                <c:pt idx="8">
                  <c:v>4.5</c:v>
                </c:pt>
                <c:pt idx="9">
                  <c:v>4.5</c:v>
                </c:pt>
                <c:pt idx="10">
                  <c:v>4.5</c:v>
                </c:pt>
                <c:pt idx="11">
                  <c:v>4.5</c:v>
                </c:pt>
                <c:pt idx="12">
                  <c:v>4.5</c:v>
                </c:pt>
                <c:pt idx="13">
                  <c:v>4.5</c:v>
                </c:pt>
                <c:pt idx="14">
                  <c:v>4.5</c:v>
                </c:pt>
                <c:pt idx="15">
                  <c:v>4.5</c:v>
                </c:pt>
                <c:pt idx="16">
                  <c:v>4.5</c:v>
                </c:pt>
                <c:pt idx="18">
                  <c:v>1.8888888888888888</c:v>
                </c:pt>
                <c:pt idx="19">
                  <c:v>1.8888888888888888</c:v>
                </c:pt>
                <c:pt idx="20">
                  <c:v>1.8888888888888888</c:v>
                </c:pt>
                <c:pt idx="21">
                  <c:v>1.8888888888888888</c:v>
                </c:pt>
                <c:pt idx="22">
                  <c:v>1.8888888888888888</c:v>
                </c:pt>
                <c:pt idx="23">
                  <c:v>1.8888888888888888</c:v>
                </c:pt>
                <c:pt idx="24">
                  <c:v>1.8888888888888888</c:v>
                </c:pt>
                <c:pt idx="25">
                  <c:v>1.8888888888888888</c:v>
                </c:pt>
                <c:pt idx="26">
                  <c:v>1.8888888888888888</c:v>
                </c:pt>
                <c:pt idx="27">
                  <c:v>1.8888888888888888</c:v>
                </c:pt>
                <c:pt idx="28">
                  <c:v>1.8888888888888888</c:v>
                </c:pt>
                <c:pt idx="29">
                  <c:v>1.8888888888888888</c:v>
                </c:pt>
                <c:pt idx="30">
                  <c:v>1.8888888888888888</c:v>
                </c:pt>
                <c:pt idx="31">
                  <c:v>1.8888888888888888</c:v>
                </c:pt>
                <c:pt idx="32">
                  <c:v>1.8888888888888888</c:v>
                </c:pt>
                <c:pt idx="33">
                  <c:v>1.8888888888888888</c:v>
                </c:pt>
                <c:pt idx="34">
                  <c:v>1.8888888888888888</c:v>
                </c:pt>
                <c:pt idx="35">
                  <c:v>1.8888888888888888</c:v>
                </c:pt>
                <c:pt idx="36">
                  <c:v>1.8888888888888888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(days)5'!$P$1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(days)5'!$P$2:$P$38</c:f>
              <c:numCache>
                <c:formatCode>0</c:formatCode>
                <c:ptCount val="37"/>
                <c:pt idx="1">
                  <c:v>1.0995000000000004</c:v>
                </c:pt>
                <c:pt idx="2">
                  <c:v>1.0995000000000004</c:v>
                </c:pt>
                <c:pt idx="3">
                  <c:v>1.0995000000000004</c:v>
                </c:pt>
                <c:pt idx="4">
                  <c:v>1.0995000000000004</c:v>
                </c:pt>
                <c:pt idx="5">
                  <c:v>1.0995000000000004</c:v>
                </c:pt>
                <c:pt idx="6">
                  <c:v>1.0995000000000004</c:v>
                </c:pt>
                <c:pt idx="7">
                  <c:v>1.0995000000000004</c:v>
                </c:pt>
                <c:pt idx="8">
                  <c:v>1.0995000000000004</c:v>
                </c:pt>
                <c:pt idx="9">
                  <c:v>1.0995000000000004</c:v>
                </c:pt>
                <c:pt idx="10">
                  <c:v>1.0995000000000004</c:v>
                </c:pt>
                <c:pt idx="11">
                  <c:v>1.0995000000000004</c:v>
                </c:pt>
                <c:pt idx="12">
                  <c:v>1.0995000000000004</c:v>
                </c:pt>
                <c:pt idx="13">
                  <c:v>1.0995000000000004</c:v>
                </c:pt>
                <c:pt idx="14">
                  <c:v>1.0995000000000004</c:v>
                </c:pt>
                <c:pt idx="15">
                  <c:v>1.0995000000000004</c:v>
                </c:pt>
                <c:pt idx="16">
                  <c:v>1.0995000000000004</c:v>
                </c:pt>
                <c:pt idx="18">
                  <c:v>0.46151851851851888</c:v>
                </c:pt>
                <c:pt idx="19">
                  <c:v>0.46151851851851888</c:v>
                </c:pt>
                <c:pt idx="20">
                  <c:v>0.46151851851851888</c:v>
                </c:pt>
                <c:pt idx="21">
                  <c:v>0.46151851851851888</c:v>
                </c:pt>
                <c:pt idx="22">
                  <c:v>0.46151851851851888</c:v>
                </c:pt>
                <c:pt idx="23">
                  <c:v>0.46151851851851888</c:v>
                </c:pt>
                <c:pt idx="24">
                  <c:v>0.46151851851851888</c:v>
                </c:pt>
                <c:pt idx="25">
                  <c:v>0.46151851851851888</c:v>
                </c:pt>
                <c:pt idx="26">
                  <c:v>0.46151851851851888</c:v>
                </c:pt>
                <c:pt idx="27">
                  <c:v>0.46151851851851888</c:v>
                </c:pt>
                <c:pt idx="28">
                  <c:v>0.46151851851851888</c:v>
                </c:pt>
                <c:pt idx="29">
                  <c:v>0.46151851851851888</c:v>
                </c:pt>
                <c:pt idx="30">
                  <c:v>0.46151851851851888</c:v>
                </c:pt>
                <c:pt idx="31">
                  <c:v>0.46151851851851888</c:v>
                </c:pt>
                <c:pt idx="32">
                  <c:v>0.46151851851851888</c:v>
                </c:pt>
                <c:pt idx="33">
                  <c:v>0.46151851851851888</c:v>
                </c:pt>
                <c:pt idx="34">
                  <c:v>0.46151851851851888</c:v>
                </c:pt>
                <c:pt idx="35">
                  <c:v>0.46151851851851888</c:v>
                </c:pt>
                <c:pt idx="36">
                  <c:v>0.46151851851851888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(days)5'!$Q$1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(days)5'!$Q$2:$Q$38</c:f>
              <c:numCache>
                <c:formatCode>0</c:formatCode>
                <c:ptCount val="3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(days)5'!$R$1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(days)5'!$R$2:$R$38</c:f>
              <c:numCache>
                <c:formatCode>0</c:formatCode>
                <c:ptCount val="3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913408"/>
        <c:axId val="216915328"/>
      </c:lineChart>
      <c:catAx>
        <c:axId val="21691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216915328"/>
        <c:crosses val="autoZero"/>
        <c:auto val="0"/>
        <c:lblAlgn val="ctr"/>
        <c:lblOffset val="100"/>
        <c:noMultiLvlLbl val="0"/>
      </c:catAx>
      <c:valAx>
        <c:axId val="21691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21691340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Length of stay (days)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'Length of stay (days)5'!$B$1</c:f>
              <c:strCache>
                <c:ptCount val="1"/>
                <c:pt idx="0">
                  <c:v>Length of stay (days)</c:v>
                </c:pt>
              </c:strCache>
            </c:strRef>
          </c:tx>
          <c:spPr>
            <a:ln w="12700">
              <a:solidFill>
                <a:srgbClr val="000090"/>
              </a:solidFill>
              <a:prstDash val="solid"/>
            </a:ln>
            <a:effectLst/>
          </c:spPr>
          <c:marker>
            <c:symbol val="square"/>
            <c:size val="6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26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</c:dPt>
          <c:dPt>
            <c:idx val="27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28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29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30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31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32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dPt>
            <c:idx val="33"/>
            <c:marker>
              <c:symbol val="diamond"/>
              <c:size val="6"/>
              <c:spPr>
                <a:solidFill>
                  <a:srgbClr val="DD0806"/>
                </a:solidFill>
                <a:ln>
                  <a:solidFill>
                    <a:srgbClr val="DD0806"/>
                  </a:solidFill>
                  <a:prstDash val="solid"/>
                </a:ln>
              </c:spPr>
            </c:marker>
            <c:bubble3D val="0"/>
            <c:spPr>
              <a:ln w="12700">
                <a:solidFill>
                  <a:srgbClr val="DD0806"/>
                </a:solidFill>
                <a:prstDash val="solid"/>
              </a:ln>
              <a:effectLst/>
            </c:spPr>
          </c:dPt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(days)5'!$B$2:$B$38</c:f>
              <c:numCache>
                <c:formatCode>0</c:formatCode>
                <c:ptCount val="37"/>
                <c:pt idx="0">
                  <c:v>7</c:v>
                </c:pt>
                <c:pt idx="1">
                  <c:v>11</c:v>
                </c:pt>
                <c:pt idx="2">
                  <c:v>5</c:v>
                </c:pt>
                <c:pt idx="3">
                  <c:v>6</c:v>
                </c:pt>
                <c:pt idx="4">
                  <c:v>4</c:v>
                </c:pt>
                <c:pt idx="5">
                  <c:v>17</c:v>
                </c:pt>
                <c:pt idx="6">
                  <c:v>14</c:v>
                </c:pt>
                <c:pt idx="7">
                  <c:v>7</c:v>
                </c:pt>
                <c:pt idx="8">
                  <c:v>19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7</c:v>
                </c:pt>
                <c:pt idx="16">
                  <c:v>13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11</c:v>
                </c:pt>
                <c:pt idx="26">
                  <c:v>6</c:v>
                </c:pt>
                <c:pt idx="27">
                  <c:v>5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5</c:v>
                </c:pt>
                <c:pt idx="34">
                  <c:v>10</c:v>
                </c:pt>
                <c:pt idx="35">
                  <c:v>9</c:v>
                </c:pt>
                <c:pt idx="36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'Length of stay (days)5'!$C$1</c:f>
              <c:strCache>
                <c:ptCount val="1"/>
                <c:pt idx="0">
                  <c:v>UCL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(days)5'!$C$2:$C$38</c:f>
              <c:numCache>
                <c:formatCode>0</c:formatCode>
                <c:ptCount val="37"/>
                <c:pt idx="0">
                  <c:v>21.028823529411767</c:v>
                </c:pt>
                <c:pt idx="1">
                  <c:v>21.028823529411767</c:v>
                </c:pt>
                <c:pt idx="2">
                  <c:v>21.028823529411767</c:v>
                </c:pt>
                <c:pt idx="3">
                  <c:v>21.028823529411767</c:v>
                </c:pt>
                <c:pt idx="4">
                  <c:v>21.028823529411767</c:v>
                </c:pt>
                <c:pt idx="5">
                  <c:v>21.028823529411767</c:v>
                </c:pt>
                <c:pt idx="6">
                  <c:v>21.028823529411767</c:v>
                </c:pt>
                <c:pt idx="7">
                  <c:v>21.028823529411767</c:v>
                </c:pt>
                <c:pt idx="8">
                  <c:v>21.028823529411767</c:v>
                </c:pt>
                <c:pt idx="9">
                  <c:v>21.028823529411767</c:v>
                </c:pt>
                <c:pt idx="10">
                  <c:v>21.028823529411767</c:v>
                </c:pt>
                <c:pt idx="11">
                  <c:v>21.028823529411767</c:v>
                </c:pt>
                <c:pt idx="12">
                  <c:v>21.028823529411767</c:v>
                </c:pt>
                <c:pt idx="13">
                  <c:v>21.028823529411767</c:v>
                </c:pt>
                <c:pt idx="14">
                  <c:v>21.028823529411767</c:v>
                </c:pt>
                <c:pt idx="15">
                  <c:v>21.028823529411767</c:v>
                </c:pt>
                <c:pt idx="16">
                  <c:v>21.028823529411767</c:v>
                </c:pt>
                <c:pt idx="18">
                  <c:v>11.55076023391813</c:v>
                </c:pt>
                <c:pt idx="19">
                  <c:v>11.55076023391813</c:v>
                </c:pt>
                <c:pt idx="20">
                  <c:v>11.55076023391813</c:v>
                </c:pt>
                <c:pt idx="21">
                  <c:v>11.55076023391813</c:v>
                </c:pt>
                <c:pt idx="22">
                  <c:v>11.55076023391813</c:v>
                </c:pt>
                <c:pt idx="23">
                  <c:v>11.55076023391813</c:v>
                </c:pt>
                <c:pt idx="24">
                  <c:v>11.55076023391813</c:v>
                </c:pt>
                <c:pt idx="25">
                  <c:v>11.55076023391813</c:v>
                </c:pt>
                <c:pt idx="26">
                  <c:v>11.55076023391813</c:v>
                </c:pt>
                <c:pt idx="27">
                  <c:v>11.55076023391813</c:v>
                </c:pt>
                <c:pt idx="28">
                  <c:v>11.55076023391813</c:v>
                </c:pt>
                <c:pt idx="29">
                  <c:v>11.55076023391813</c:v>
                </c:pt>
                <c:pt idx="30">
                  <c:v>11.55076023391813</c:v>
                </c:pt>
                <c:pt idx="31">
                  <c:v>11.55076023391813</c:v>
                </c:pt>
                <c:pt idx="32">
                  <c:v>11.55076023391813</c:v>
                </c:pt>
                <c:pt idx="33">
                  <c:v>11.55076023391813</c:v>
                </c:pt>
                <c:pt idx="34">
                  <c:v>11.55076023391813</c:v>
                </c:pt>
                <c:pt idx="35">
                  <c:v>11.55076023391813</c:v>
                </c:pt>
                <c:pt idx="36">
                  <c:v>11.55076023391813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'Length of stay (days)5'!$D$1</c:f>
              <c:strCache>
                <c:ptCount val="1"/>
                <c:pt idx="0">
                  <c:v> +2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(days)5'!$D$2:$D$38</c:f>
              <c:numCache>
                <c:formatCode>0</c:formatCode>
                <c:ptCount val="37"/>
                <c:pt idx="0">
                  <c:v>17.038823529411765</c:v>
                </c:pt>
                <c:pt idx="1">
                  <c:v>17.038823529411765</c:v>
                </c:pt>
                <c:pt idx="2">
                  <c:v>17.038823529411765</c:v>
                </c:pt>
                <c:pt idx="3">
                  <c:v>17.038823529411765</c:v>
                </c:pt>
                <c:pt idx="4">
                  <c:v>17.038823529411765</c:v>
                </c:pt>
                <c:pt idx="5">
                  <c:v>17.038823529411765</c:v>
                </c:pt>
                <c:pt idx="6">
                  <c:v>17.038823529411765</c:v>
                </c:pt>
                <c:pt idx="7">
                  <c:v>17.038823529411765</c:v>
                </c:pt>
                <c:pt idx="8">
                  <c:v>17.038823529411765</c:v>
                </c:pt>
                <c:pt idx="9">
                  <c:v>17.038823529411765</c:v>
                </c:pt>
                <c:pt idx="10">
                  <c:v>17.038823529411765</c:v>
                </c:pt>
                <c:pt idx="11">
                  <c:v>17.038823529411765</c:v>
                </c:pt>
                <c:pt idx="12">
                  <c:v>17.038823529411765</c:v>
                </c:pt>
                <c:pt idx="13">
                  <c:v>17.038823529411765</c:v>
                </c:pt>
                <c:pt idx="14">
                  <c:v>17.038823529411765</c:v>
                </c:pt>
                <c:pt idx="15">
                  <c:v>17.038823529411765</c:v>
                </c:pt>
                <c:pt idx="16">
                  <c:v>17.038823529411765</c:v>
                </c:pt>
                <c:pt idx="18">
                  <c:v>9.8759454191033136</c:v>
                </c:pt>
                <c:pt idx="19">
                  <c:v>9.8759454191033136</c:v>
                </c:pt>
                <c:pt idx="20">
                  <c:v>9.8759454191033136</c:v>
                </c:pt>
                <c:pt idx="21">
                  <c:v>9.8759454191033136</c:v>
                </c:pt>
                <c:pt idx="22">
                  <c:v>9.8759454191033136</c:v>
                </c:pt>
                <c:pt idx="23">
                  <c:v>9.8759454191033136</c:v>
                </c:pt>
                <c:pt idx="24">
                  <c:v>9.8759454191033136</c:v>
                </c:pt>
                <c:pt idx="25">
                  <c:v>9.8759454191033136</c:v>
                </c:pt>
                <c:pt idx="26">
                  <c:v>9.8759454191033136</c:v>
                </c:pt>
                <c:pt idx="27">
                  <c:v>9.8759454191033136</c:v>
                </c:pt>
                <c:pt idx="28">
                  <c:v>9.8759454191033136</c:v>
                </c:pt>
                <c:pt idx="29">
                  <c:v>9.8759454191033136</c:v>
                </c:pt>
                <c:pt idx="30">
                  <c:v>9.8759454191033136</c:v>
                </c:pt>
                <c:pt idx="31">
                  <c:v>9.8759454191033136</c:v>
                </c:pt>
                <c:pt idx="32">
                  <c:v>9.8759454191033136</c:v>
                </c:pt>
                <c:pt idx="33">
                  <c:v>9.8759454191033136</c:v>
                </c:pt>
                <c:pt idx="34">
                  <c:v>9.8759454191033136</c:v>
                </c:pt>
                <c:pt idx="35">
                  <c:v>9.8759454191033136</c:v>
                </c:pt>
                <c:pt idx="36">
                  <c:v>9.8759454191033136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'Length of stay (days)5'!$E$1</c:f>
              <c:strCache>
                <c:ptCount val="1"/>
                <c:pt idx="0">
                  <c:v> +1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(days)5'!$E$2:$E$38</c:f>
              <c:numCache>
                <c:formatCode>0</c:formatCode>
                <c:ptCount val="37"/>
                <c:pt idx="0">
                  <c:v>13.048823529411765</c:v>
                </c:pt>
                <c:pt idx="1">
                  <c:v>13.048823529411765</c:v>
                </c:pt>
                <c:pt idx="2">
                  <c:v>13.048823529411765</c:v>
                </c:pt>
                <c:pt idx="3">
                  <c:v>13.048823529411765</c:v>
                </c:pt>
                <c:pt idx="4">
                  <c:v>13.048823529411765</c:v>
                </c:pt>
                <c:pt idx="5">
                  <c:v>13.048823529411765</c:v>
                </c:pt>
                <c:pt idx="6">
                  <c:v>13.048823529411765</c:v>
                </c:pt>
                <c:pt idx="7">
                  <c:v>13.048823529411765</c:v>
                </c:pt>
                <c:pt idx="8">
                  <c:v>13.048823529411765</c:v>
                </c:pt>
                <c:pt idx="9">
                  <c:v>13.048823529411765</c:v>
                </c:pt>
                <c:pt idx="10">
                  <c:v>13.048823529411765</c:v>
                </c:pt>
                <c:pt idx="11">
                  <c:v>13.048823529411765</c:v>
                </c:pt>
                <c:pt idx="12">
                  <c:v>13.048823529411765</c:v>
                </c:pt>
                <c:pt idx="13">
                  <c:v>13.048823529411765</c:v>
                </c:pt>
                <c:pt idx="14">
                  <c:v>13.048823529411765</c:v>
                </c:pt>
                <c:pt idx="15">
                  <c:v>13.048823529411765</c:v>
                </c:pt>
                <c:pt idx="16">
                  <c:v>13.048823529411765</c:v>
                </c:pt>
                <c:pt idx="18">
                  <c:v>8.2011306042884993</c:v>
                </c:pt>
                <c:pt idx="19">
                  <c:v>8.2011306042884993</c:v>
                </c:pt>
                <c:pt idx="20">
                  <c:v>8.2011306042884993</c:v>
                </c:pt>
                <c:pt idx="21">
                  <c:v>8.2011306042884993</c:v>
                </c:pt>
                <c:pt idx="22">
                  <c:v>8.2011306042884993</c:v>
                </c:pt>
                <c:pt idx="23">
                  <c:v>8.2011306042884993</c:v>
                </c:pt>
                <c:pt idx="24">
                  <c:v>8.2011306042884993</c:v>
                </c:pt>
                <c:pt idx="25">
                  <c:v>8.2011306042884993</c:v>
                </c:pt>
                <c:pt idx="26">
                  <c:v>8.2011306042884993</c:v>
                </c:pt>
                <c:pt idx="27">
                  <c:v>8.2011306042884993</c:v>
                </c:pt>
                <c:pt idx="28">
                  <c:v>8.2011306042884993</c:v>
                </c:pt>
                <c:pt idx="29">
                  <c:v>8.2011306042884993</c:v>
                </c:pt>
                <c:pt idx="30">
                  <c:v>8.2011306042884993</c:v>
                </c:pt>
                <c:pt idx="31">
                  <c:v>8.2011306042884993</c:v>
                </c:pt>
                <c:pt idx="32">
                  <c:v>8.2011306042884993</c:v>
                </c:pt>
                <c:pt idx="33">
                  <c:v>8.2011306042884993</c:v>
                </c:pt>
                <c:pt idx="34">
                  <c:v>8.2011306042884993</c:v>
                </c:pt>
                <c:pt idx="35">
                  <c:v>8.2011306042884993</c:v>
                </c:pt>
                <c:pt idx="36">
                  <c:v>8.2011306042884993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'Length of stay (days)5'!$F$1</c:f>
              <c:strCache>
                <c:ptCount val="1"/>
                <c:pt idx="0">
                  <c:v>Average</c:v>
                </c:pt>
              </c:strCache>
            </c:strRef>
          </c:tx>
          <c:spPr>
            <a:ln w="12700">
              <a:solidFill>
                <a:srgbClr val="00ABEA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465564654365617E-2"/>
                  <c:y val="-1.012176563760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465564654365617E-2"/>
                  <c:y val="-2.024369067310379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(days)5'!$F$2:$F$38</c:f>
              <c:numCache>
                <c:formatCode>0</c:formatCode>
                <c:ptCount val="37"/>
                <c:pt idx="0">
                  <c:v>9.0588235294117645</c:v>
                </c:pt>
                <c:pt idx="1">
                  <c:v>9.0588235294117645</c:v>
                </c:pt>
                <c:pt idx="2">
                  <c:v>9.0588235294117645</c:v>
                </c:pt>
                <c:pt idx="3">
                  <c:v>9.0588235294117645</c:v>
                </c:pt>
                <c:pt idx="4">
                  <c:v>9.0588235294117645</c:v>
                </c:pt>
                <c:pt idx="5">
                  <c:v>9.0588235294117645</c:v>
                </c:pt>
                <c:pt idx="6">
                  <c:v>9.0588235294117645</c:v>
                </c:pt>
                <c:pt idx="7">
                  <c:v>9.0588235294117645</c:v>
                </c:pt>
                <c:pt idx="8">
                  <c:v>9.0588235294117645</c:v>
                </c:pt>
                <c:pt idx="9">
                  <c:v>9.0588235294117645</c:v>
                </c:pt>
                <c:pt idx="10">
                  <c:v>9.0588235294117645</c:v>
                </c:pt>
                <c:pt idx="11">
                  <c:v>9.0588235294117645</c:v>
                </c:pt>
                <c:pt idx="12">
                  <c:v>9.0588235294117645</c:v>
                </c:pt>
                <c:pt idx="13">
                  <c:v>9.0588235294117645</c:v>
                </c:pt>
                <c:pt idx="14">
                  <c:v>9.0588235294117645</c:v>
                </c:pt>
                <c:pt idx="15">
                  <c:v>9.0588235294117645</c:v>
                </c:pt>
                <c:pt idx="16">
                  <c:v>9.0588235294117645</c:v>
                </c:pt>
                <c:pt idx="18">
                  <c:v>6.5263157894736841</c:v>
                </c:pt>
                <c:pt idx="19">
                  <c:v>6.5263157894736841</c:v>
                </c:pt>
                <c:pt idx="20">
                  <c:v>6.5263157894736841</c:v>
                </c:pt>
                <c:pt idx="21">
                  <c:v>6.5263157894736841</c:v>
                </c:pt>
                <c:pt idx="22">
                  <c:v>6.5263157894736841</c:v>
                </c:pt>
                <c:pt idx="23">
                  <c:v>6.5263157894736841</c:v>
                </c:pt>
                <c:pt idx="24">
                  <c:v>6.5263157894736841</c:v>
                </c:pt>
                <c:pt idx="25">
                  <c:v>6.5263157894736841</c:v>
                </c:pt>
                <c:pt idx="26">
                  <c:v>6.5263157894736841</c:v>
                </c:pt>
                <c:pt idx="27">
                  <c:v>6.5263157894736841</c:v>
                </c:pt>
                <c:pt idx="28">
                  <c:v>6.5263157894736841</c:v>
                </c:pt>
                <c:pt idx="29">
                  <c:v>6.5263157894736841</c:v>
                </c:pt>
                <c:pt idx="30">
                  <c:v>6.5263157894736841</c:v>
                </c:pt>
                <c:pt idx="31">
                  <c:v>6.5263157894736841</c:v>
                </c:pt>
                <c:pt idx="32">
                  <c:v>6.5263157894736841</c:v>
                </c:pt>
                <c:pt idx="33">
                  <c:v>6.5263157894736841</c:v>
                </c:pt>
                <c:pt idx="34">
                  <c:v>6.5263157894736841</c:v>
                </c:pt>
                <c:pt idx="35">
                  <c:v>6.5263157894736841</c:v>
                </c:pt>
                <c:pt idx="36">
                  <c:v>6.5263157894736841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'Length of stay (days)5'!$G$1</c:f>
              <c:strCache>
                <c:ptCount val="1"/>
                <c:pt idx="0">
                  <c:v> -1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(days)5'!$G$2:$G$38</c:f>
              <c:numCache>
                <c:formatCode>0</c:formatCode>
                <c:ptCount val="37"/>
                <c:pt idx="0">
                  <c:v>5.0688235294117643</c:v>
                </c:pt>
                <c:pt idx="1">
                  <c:v>5.0688235294117643</c:v>
                </c:pt>
                <c:pt idx="2">
                  <c:v>5.0688235294117643</c:v>
                </c:pt>
                <c:pt idx="3">
                  <c:v>5.0688235294117643</c:v>
                </c:pt>
                <c:pt idx="4">
                  <c:v>5.0688235294117643</c:v>
                </c:pt>
                <c:pt idx="5">
                  <c:v>5.0688235294117643</c:v>
                </c:pt>
                <c:pt idx="6">
                  <c:v>5.0688235294117643</c:v>
                </c:pt>
                <c:pt idx="7">
                  <c:v>5.0688235294117643</c:v>
                </c:pt>
                <c:pt idx="8">
                  <c:v>5.0688235294117643</c:v>
                </c:pt>
                <c:pt idx="9">
                  <c:v>5.0688235294117643</c:v>
                </c:pt>
                <c:pt idx="10">
                  <c:v>5.0688235294117643</c:v>
                </c:pt>
                <c:pt idx="11">
                  <c:v>5.0688235294117643</c:v>
                </c:pt>
                <c:pt idx="12">
                  <c:v>5.0688235294117643</c:v>
                </c:pt>
                <c:pt idx="13">
                  <c:v>5.0688235294117643</c:v>
                </c:pt>
                <c:pt idx="14">
                  <c:v>5.0688235294117643</c:v>
                </c:pt>
                <c:pt idx="15">
                  <c:v>5.0688235294117643</c:v>
                </c:pt>
                <c:pt idx="16">
                  <c:v>5.0688235294117643</c:v>
                </c:pt>
                <c:pt idx="18">
                  <c:v>4.8515009746588689</c:v>
                </c:pt>
                <c:pt idx="19">
                  <c:v>4.8515009746588689</c:v>
                </c:pt>
                <c:pt idx="20">
                  <c:v>4.8515009746588689</c:v>
                </c:pt>
                <c:pt idx="21">
                  <c:v>4.8515009746588689</c:v>
                </c:pt>
                <c:pt idx="22">
                  <c:v>4.8515009746588689</c:v>
                </c:pt>
                <c:pt idx="23">
                  <c:v>4.8515009746588689</c:v>
                </c:pt>
                <c:pt idx="24">
                  <c:v>4.8515009746588689</c:v>
                </c:pt>
                <c:pt idx="25">
                  <c:v>4.8515009746588689</c:v>
                </c:pt>
                <c:pt idx="26">
                  <c:v>4.8515009746588689</c:v>
                </c:pt>
                <c:pt idx="27">
                  <c:v>4.8515009746588689</c:v>
                </c:pt>
                <c:pt idx="28">
                  <c:v>4.8515009746588689</c:v>
                </c:pt>
                <c:pt idx="29">
                  <c:v>4.8515009746588689</c:v>
                </c:pt>
                <c:pt idx="30">
                  <c:v>4.8515009746588689</c:v>
                </c:pt>
                <c:pt idx="31">
                  <c:v>4.8515009746588689</c:v>
                </c:pt>
                <c:pt idx="32">
                  <c:v>4.8515009746588689</c:v>
                </c:pt>
                <c:pt idx="33">
                  <c:v>4.8515009746588689</c:v>
                </c:pt>
                <c:pt idx="34">
                  <c:v>4.8515009746588689</c:v>
                </c:pt>
                <c:pt idx="35">
                  <c:v>4.8515009746588689</c:v>
                </c:pt>
                <c:pt idx="36">
                  <c:v>4.8515009746588689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'Length of stay (days)5'!$H$1</c:f>
              <c:strCache>
                <c:ptCount val="1"/>
                <c:pt idx="0">
                  <c:v> -2 Sigma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none"/>
          </c:marker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(days)5'!$H$2:$H$38</c:f>
              <c:numCache>
                <c:formatCode>0</c:formatCode>
                <c:ptCount val="37"/>
                <c:pt idx="0">
                  <c:v>1.0788235294117641</c:v>
                </c:pt>
                <c:pt idx="1">
                  <c:v>1.0788235294117641</c:v>
                </c:pt>
                <c:pt idx="2">
                  <c:v>1.0788235294117641</c:v>
                </c:pt>
                <c:pt idx="3">
                  <c:v>1.0788235294117641</c:v>
                </c:pt>
                <c:pt idx="4">
                  <c:v>1.0788235294117641</c:v>
                </c:pt>
                <c:pt idx="5">
                  <c:v>1.0788235294117641</c:v>
                </c:pt>
                <c:pt idx="6">
                  <c:v>1.0788235294117641</c:v>
                </c:pt>
                <c:pt idx="7">
                  <c:v>1.0788235294117641</c:v>
                </c:pt>
                <c:pt idx="8">
                  <c:v>1.0788235294117641</c:v>
                </c:pt>
                <c:pt idx="9">
                  <c:v>1.0788235294117641</c:v>
                </c:pt>
                <c:pt idx="10">
                  <c:v>1.0788235294117641</c:v>
                </c:pt>
                <c:pt idx="11">
                  <c:v>1.0788235294117641</c:v>
                </c:pt>
                <c:pt idx="12">
                  <c:v>1.0788235294117641</c:v>
                </c:pt>
                <c:pt idx="13">
                  <c:v>1.0788235294117641</c:v>
                </c:pt>
                <c:pt idx="14">
                  <c:v>1.0788235294117641</c:v>
                </c:pt>
                <c:pt idx="15">
                  <c:v>1.0788235294117641</c:v>
                </c:pt>
                <c:pt idx="16">
                  <c:v>1.0788235294117641</c:v>
                </c:pt>
                <c:pt idx="18">
                  <c:v>3.1766861598440546</c:v>
                </c:pt>
                <c:pt idx="19">
                  <c:v>3.1766861598440546</c:v>
                </c:pt>
                <c:pt idx="20">
                  <c:v>3.1766861598440546</c:v>
                </c:pt>
                <c:pt idx="21">
                  <c:v>3.1766861598440546</c:v>
                </c:pt>
                <c:pt idx="22">
                  <c:v>3.1766861598440546</c:v>
                </c:pt>
                <c:pt idx="23">
                  <c:v>3.1766861598440546</c:v>
                </c:pt>
                <c:pt idx="24">
                  <c:v>3.1766861598440546</c:v>
                </c:pt>
                <c:pt idx="25">
                  <c:v>3.1766861598440546</c:v>
                </c:pt>
                <c:pt idx="26">
                  <c:v>3.1766861598440546</c:v>
                </c:pt>
                <c:pt idx="27">
                  <c:v>3.1766861598440546</c:v>
                </c:pt>
                <c:pt idx="28">
                  <c:v>3.1766861598440546</c:v>
                </c:pt>
                <c:pt idx="29">
                  <c:v>3.1766861598440546</c:v>
                </c:pt>
                <c:pt idx="30">
                  <c:v>3.1766861598440546</c:v>
                </c:pt>
                <c:pt idx="31">
                  <c:v>3.1766861598440546</c:v>
                </c:pt>
                <c:pt idx="32">
                  <c:v>3.1766861598440546</c:v>
                </c:pt>
                <c:pt idx="33">
                  <c:v>3.1766861598440546</c:v>
                </c:pt>
                <c:pt idx="34">
                  <c:v>3.1766861598440546</c:v>
                </c:pt>
                <c:pt idx="35">
                  <c:v>3.1766861598440546</c:v>
                </c:pt>
                <c:pt idx="36">
                  <c:v>3.1766861598440546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'Length of stay (days)5'!$I$1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DD0806"/>
              </a:solidFill>
              <a:prstDash val="lgDash"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465564654365617E-2"/>
                  <c:y val="-2.02435312752197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LCL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465564654365617E-2"/>
                  <c:y val="-1.012176563760986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1.465564654365617E-2"/>
                  <c:y val="-2.0243531275219735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'Length of stay (days)5'!$A$2:$A$38</c:f>
              <c:numCache>
                <c:formatCode>m/d/yyyy</c:formatCode>
                <c:ptCount val="37"/>
                <c:pt idx="0">
                  <c:v>41313</c:v>
                </c:pt>
                <c:pt idx="1">
                  <c:v>41382</c:v>
                </c:pt>
                <c:pt idx="2">
                  <c:v>41410</c:v>
                </c:pt>
                <c:pt idx="3">
                  <c:v>41411</c:v>
                </c:pt>
                <c:pt idx="4">
                  <c:v>41424</c:v>
                </c:pt>
                <c:pt idx="5">
                  <c:v>41437</c:v>
                </c:pt>
                <c:pt idx="6">
                  <c:v>41493</c:v>
                </c:pt>
                <c:pt idx="7">
                  <c:v>41641</c:v>
                </c:pt>
                <c:pt idx="8">
                  <c:v>41662</c:v>
                </c:pt>
                <c:pt idx="9">
                  <c:v>41662</c:v>
                </c:pt>
                <c:pt idx="10">
                  <c:v>41663</c:v>
                </c:pt>
                <c:pt idx="11">
                  <c:v>41669</c:v>
                </c:pt>
                <c:pt idx="12">
                  <c:v>41698</c:v>
                </c:pt>
                <c:pt idx="13">
                  <c:v>41747</c:v>
                </c:pt>
                <c:pt idx="14">
                  <c:v>41760</c:v>
                </c:pt>
                <c:pt idx="15">
                  <c:v>41768</c:v>
                </c:pt>
                <c:pt idx="16">
                  <c:v>41781</c:v>
                </c:pt>
                <c:pt idx="18">
                  <c:v>41830</c:v>
                </c:pt>
                <c:pt idx="19">
                  <c:v>41844</c:v>
                </c:pt>
                <c:pt idx="20">
                  <c:v>41844</c:v>
                </c:pt>
                <c:pt idx="21">
                  <c:v>41851</c:v>
                </c:pt>
                <c:pt idx="22">
                  <c:v>41887</c:v>
                </c:pt>
                <c:pt idx="23">
                  <c:v>41907</c:v>
                </c:pt>
                <c:pt idx="24">
                  <c:v>41935</c:v>
                </c:pt>
                <c:pt idx="25">
                  <c:v>41935</c:v>
                </c:pt>
                <c:pt idx="26">
                  <c:v>41943</c:v>
                </c:pt>
                <c:pt idx="27">
                  <c:v>41949</c:v>
                </c:pt>
                <c:pt idx="28">
                  <c:v>41963</c:v>
                </c:pt>
                <c:pt idx="29">
                  <c:v>42343</c:v>
                </c:pt>
                <c:pt idx="30">
                  <c:v>41984</c:v>
                </c:pt>
                <c:pt idx="31">
                  <c:v>42019</c:v>
                </c:pt>
                <c:pt idx="32">
                  <c:v>42041</c:v>
                </c:pt>
                <c:pt idx="33">
                  <c:v>42061</c:v>
                </c:pt>
                <c:pt idx="34">
                  <c:v>42068</c:v>
                </c:pt>
                <c:pt idx="35">
                  <c:v>42082</c:v>
                </c:pt>
                <c:pt idx="36">
                  <c:v>42110</c:v>
                </c:pt>
              </c:numCache>
            </c:numRef>
          </c:cat>
          <c:val>
            <c:numRef>
              <c:f>'Length of stay (days)5'!$I$2:$I$38</c:f>
              <c:numCache>
                <c:formatCode>0</c:formatCode>
                <c:ptCount val="37"/>
                <c:pt idx="0">
                  <c:v>-2.9111764705882361</c:v>
                </c:pt>
                <c:pt idx="1">
                  <c:v>-2.9111764705882361</c:v>
                </c:pt>
                <c:pt idx="2">
                  <c:v>-2.9111764705882361</c:v>
                </c:pt>
                <c:pt idx="3">
                  <c:v>-2.9111764705882361</c:v>
                </c:pt>
                <c:pt idx="4">
                  <c:v>-2.9111764705882361</c:v>
                </c:pt>
                <c:pt idx="5">
                  <c:v>-2.9111764705882361</c:v>
                </c:pt>
                <c:pt idx="6">
                  <c:v>-2.9111764705882361</c:v>
                </c:pt>
                <c:pt idx="7">
                  <c:v>-2.9111764705882361</c:v>
                </c:pt>
                <c:pt idx="8">
                  <c:v>-2.9111764705882361</c:v>
                </c:pt>
                <c:pt idx="9">
                  <c:v>-2.9111764705882361</c:v>
                </c:pt>
                <c:pt idx="10">
                  <c:v>-2.9111764705882361</c:v>
                </c:pt>
                <c:pt idx="11">
                  <c:v>-2.9111764705882361</c:v>
                </c:pt>
                <c:pt idx="12">
                  <c:v>-2.9111764705882361</c:v>
                </c:pt>
                <c:pt idx="13">
                  <c:v>-2.9111764705882361</c:v>
                </c:pt>
                <c:pt idx="14">
                  <c:v>-2.9111764705882361</c:v>
                </c:pt>
                <c:pt idx="15">
                  <c:v>-2.9111764705882361</c:v>
                </c:pt>
                <c:pt idx="16">
                  <c:v>-2.9111764705882361</c:v>
                </c:pt>
                <c:pt idx="18">
                  <c:v>1.5018713450292394</c:v>
                </c:pt>
                <c:pt idx="19">
                  <c:v>1.5018713450292394</c:v>
                </c:pt>
                <c:pt idx="20">
                  <c:v>1.5018713450292394</c:v>
                </c:pt>
                <c:pt idx="21">
                  <c:v>1.5018713450292394</c:v>
                </c:pt>
                <c:pt idx="22">
                  <c:v>1.5018713450292394</c:v>
                </c:pt>
                <c:pt idx="23">
                  <c:v>1.5018713450292394</c:v>
                </c:pt>
                <c:pt idx="24">
                  <c:v>1.5018713450292394</c:v>
                </c:pt>
                <c:pt idx="25">
                  <c:v>1.5018713450292394</c:v>
                </c:pt>
                <c:pt idx="26">
                  <c:v>1.5018713450292394</c:v>
                </c:pt>
                <c:pt idx="27">
                  <c:v>1.5018713450292394</c:v>
                </c:pt>
                <c:pt idx="28">
                  <c:v>1.5018713450292394</c:v>
                </c:pt>
                <c:pt idx="29">
                  <c:v>1.5018713450292394</c:v>
                </c:pt>
                <c:pt idx="30">
                  <c:v>1.5018713450292394</c:v>
                </c:pt>
                <c:pt idx="31">
                  <c:v>1.5018713450292394</c:v>
                </c:pt>
                <c:pt idx="32">
                  <c:v>1.5018713450292394</c:v>
                </c:pt>
                <c:pt idx="33">
                  <c:v>1.5018713450292394</c:v>
                </c:pt>
                <c:pt idx="34">
                  <c:v>1.5018713450292394</c:v>
                </c:pt>
                <c:pt idx="35">
                  <c:v>1.5018713450292394</c:v>
                </c:pt>
                <c:pt idx="36">
                  <c:v>1.5018713450292394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914752"/>
        <c:axId val="226719232"/>
      </c:lineChart>
      <c:catAx>
        <c:axId val="2179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226719232"/>
        <c:crossesAt val="-5"/>
        <c:auto val="0"/>
        <c:lblAlgn val="ctr"/>
        <c:lblOffset val="100"/>
        <c:noMultiLvlLbl val="0"/>
      </c:catAx>
      <c:valAx>
        <c:axId val="22671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Length of stay (days)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21791475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Packed Red Blood Cells (PRBC) Administered</a:t>
            </a:r>
            <a:r>
              <a:rPr lang="en-US" baseline="0"/>
              <a:t> to Whipple Patients at UNC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3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3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4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5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6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7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4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0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1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2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3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4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5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6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8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59"/>
            <c:marker>
              <c:spPr>
                <a:solidFill>
                  <a:srgbClr val="FF3399"/>
                </a:solidFill>
              </c:spPr>
            </c:marker>
            <c:bubble3D val="0"/>
          </c:dPt>
          <c:dPt>
            <c:idx val="60"/>
            <c:marker>
              <c:spPr>
                <a:solidFill>
                  <a:srgbClr val="FF3399"/>
                </a:solidFill>
              </c:spPr>
            </c:marker>
            <c:bubble3D val="0"/>
          </c:dPt>
          <c:xVal>
            <c:numRef>
              <c:f>'PRBC-Whipples'!$A$2:$A$62</c:f>
              <c:numCache>
                <c:formatCode>m/d/yyyy</c:formatCode>
                <c:ptCount val="61"/>
                <c:pt idx="0">
                  <c:v>41284</c:v>
                </c:pt>
                <c:pt idx="1">
                  <c:v>41291</c:v>
                </c:pt>
                <c:pt idx="2">
                  <c:v>41298</c:v>
                </c:pt>
                <c:pt idx="3">
                  <c:v>41326</c:v>
                </c:pt>
                <c:pt idx="4">
                  <c:v>41327</c:v>
                </c:pt>
                <c:pt idx="5">
                  <c:v>41354</c:v>
                </c:pt>
                <c:pt idx="6">
                  <c:v>41355</c:v>
                </c:pt>
                <c:pt idx="7">
                  <c:v>41360</c:v>
                </c:pt>
                <c:pt idx="8">
                  <c:v>41361</c:v>
                </c:pt>
                <c:pt idx="9">
                  <c:v>41375</c:v>
                </c:pt>
                <c:pt idx="10">
                  <c:v>41381</c:v>
                </c:pt>
                <c:pt idx="11">
                  <c:v>41389</c:v>
                </c:pt>
                <c:pt idx="12">
                  <c:v>41396</c:v>
                </c:pt>
                <c:pt idx="13">
                  <c:v>41402</c:v>
                </c:pt>
                <c:pt idx="14">
                  <c:v>41403</c:v>
                </c:pt>
                <c:pt idx="15">
                  <c:v>41410</c:v>
                </c:pt>
                <c:pt idx="16">
                  <c:v>41417</c:v>
                </c:pt>
                <c:pt idx="17">
                  <c:v>41418</c:v>
                </c:pt>
                <c:pt idx="18">
                  <c:v>41439</c:v>
                </c:pt>
                <c:pt idx="19">
                  <c:v>41446</c:v>
                </c:pt>
                <c:pt idx="20">
                  <c:v>41452</c:v>
                </c:pt>
                <c:pt idx="21">
                  <c:v>41494</c:v>
                </c:pt>
                <c:pt idx="22">
                  <c:v>41508</c:v>
                </c:pt>
                <c:pt idx="23">
                  <c:v>41522</c:v>
                </c:pt>
                <c:pt idx="24">
                  <c:v>41535</c:v>
                </c:pt>
                <c:pt idx="25">
                  <c:v>41600</c:v>
                </c:pt>
                <c:pt idx="26">
                  <c:v>41619</c:v>
                </c:pt>
                <c:pt idx="27">
                  <c:v>41684</c:v>
                </c:pt>
                <c:pt idx="28">
                  <c:v>41697</c:v>
                </c:pt>
                <c:pt idx="29">
                  <c:v>41704</c:v>
                </c:pt>
                <c:pt idx="30">
                  <c:v>41725</c:v>
                </c:pt>
                <c:pt idx="31">
                  <c:v>41732</c:v>
                </c:pt>
                <c:pt idx="32">
                  <c:v>41733</c:v>
                </c:pt>
                <c:pt idx="33">
                  <c:v>41739</c:v>
                </c:pt>
                <c:pt idx="34">
                  <c:v>41740</c:v>
                </c:pt>
                <c:pt idx="35">
                  <c:v>41753</c:v>
                </c:pt>
                <c:pt idx="36">
                  <c:v>41754</c:v>
                </c:pt>
                <c:pt idx="37">
                  <c:v>41774</c:v>
                </c:pt>
                <c:pt idx="38">
                  <c:v>41788</c:v>
                </c:pt>
                <c:pt idx="39">
                  <c:v>41795</c:v>
                </c:pt>
                <c:pt idx="40">
                  <c:v>41802</c:v>
                </c:pt>
                <c:pt idx="41">
                  <c:v>41803</c:v>
                </c:pt>
                <c:pt idx="42">
                  <c:v>41830</c:v>
                </c:pt>
                <c:pt idx="43">
                  <c:v>41858</c:v>
                </c:pt>
                <c:pt idx="44">
                  <c:v>41873</c:v>
                </c:pt>
                <c:pt idx="45">
                  <c:v>41880</c:v>
                </c:pt>
                <c:pt idx="46">
                  <c:v>41886</c:v>
                </c:pt>
                <c:pt idx="47">
                  <c:v>41887</c:v>
                </c:pt>
                <c:pt idx="48">
                  <c:v>41893</c:v>
                </c:pt>
                <c:pt idx="49">
                  <c:v>41914</c:v>
                </c:pt>
                <c:pt idx="50">
                  <c:v>41921</c:v>
                </c:pt>
                <c:pt idx="51">
                  <c:v>41922</c:v>
                </c:pt>
                <c:pt idx="52">
                  <c:v>41928</c:v>
                </c:pt>
                <c:pt idx="53">
                  <c:v>41977</c:v>
                </c:pt>
                <c:pt idx="54">
                  <c:v>42006</c:v>
                </c:pt>
                <c:pt idx="55">
                  <c:v>42027</c:v>
                </c:pt>
                <c:pt idx="56">
                  <c:v>42033</c:v>
                </c:pt>
                <c:pt idx="57">
                  <c:v>42034</c:v>
                </c:pt>
                <c:pt idx="58">
                  <c:v>42040</c:v>
                </c:pt>
                <c:pt idx="59">
                  <c:v>42075</c:v>
                </c:pt>
                <c:pt idx="60">
                  <c:v>42111</c:v>
                </c:pt>
              </c:numCache>
            </c:numRef>
          </c:xVal>
          <c:yVal>
            <c:numRef>
              <c:f>'PRBC-Whipples'!$B$2:$B$62</c:f>
              <c:numCache>
                <c:formatCode>General</c:formatCode>
                <c:ptCount val="61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</c:v>
                </c:pt>
                <c:pt idx="35">
                  <c:v>0</c:v>
                </c:pt>
                <c:pt idx="36">
                  <c:v>0</c:v>
                </c:pt>
                <c:pt idx="37">
                  <c:v>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4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85728"/>
        <c:axId val="68592000"/>
      </c:scatterChart>
      <c:valAx>
        <c:axId val="685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Surgery</a:t>
                </a:r>
              </a:p>
            </c:rich>
          </c:tx>
          <c:layout/>
          <c:overlay val="0"/>
        </c:title>
        <c:numFmt formatCode="m/d/yyyy" sourceLinked="1"/>
        <c:majorTickMark val="none"/>
        <c:minorTickMark val="none"/>
        <c:tickLblPos val="nextTo"/>
        <c:crossAx val="68592000"/>
        <c:crosses val="autoZero"/>
        <c:crossBetween val="midCat"/>
      </c:valAx>
      <c:valAx>
        <c:axId val="68592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PRBC</a:t>
                </a:r>
                <a:r>
                  <a:rPr lang="en-US" baseline="0"/>
                  <a:t> Administered (units)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8585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602" cy="6273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19</xdr:row>
      <xdr:rowOff>0</xdr:rowOff>
    </xdr:from>
    <xdr:to>
      <xdr:col>17</xdr:col>
      <xdr:colOff>323850</xdr:colOff>
      <xdr:row>33</xdr:row>
      <xdr:rowOff>138114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142874</xdr:colOff>
      <xdr:row>34</xdr:row>
      <xdr:rowOff>138112</xdr:rowOff>
    </xdr:from>
    <xdr:to>
      <xdr:col>17</xdr:col>
      <xdr:colOff>95249</xdr:colOff>
      <xdr:row>55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200025</xdr:colOff>
      <xdr:row>57</xdr:row>
      <xdr:rowOff>42861</xdr:rowOff>
    </xdr:from>
    <xdr:to>
      <xdr:col>17</xdr:col>
      <xdr:colOff>9525</xdr:colOff>
      <xdr:row>77</xdr:row>
      <xdr:rowOff>123824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1</xdr:row>
      <xdr:rowOff>4761</xdr:rowOff>
    </xdr:from>
    <xdr:to>
      <xdr:col>9</xdr:col>
      <xdr:colOff>47625</xdr:colOff>
      <xdr:row>18</xdr:row>
      <xdr:rowOff>152399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0</xdr:rowOff>
    </xdr:from>
    <xdr:to>
      <xdr:col>9</xdr:col>
      <xdr:colOff>19050</xdr:colOff>
      <xdr:row>18</xdr:row>
      <xdr:rowOff>133349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</xdr:colOff>
      <xdr:row>0</xdr:row>
      <xdr:rowOff>66674</xdr:rowOff>
    </xdr:from>
    <xdr:to>
      <xdr:col>15</xdr:col>
      <xdr:colOff>400049</xdr:colOff>
      <xdr:row>26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5602" cy="6273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724025" y="4000500"/>
    <xdr:ext cx="8229600" cy="2400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1724025" y="0"/>
    <xdr:ext cx="8229600" cy="4000500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5602" cy="6273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5602" cy="6273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1724025" y="4000500"/>
    <xdr:ext cx="8229600" cy="2400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1724025" y="0"/>
    <xdr:ext cx="8229600" cy="4000500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133349</xdr:colOff>
      <xdr:row>13</xdr:row>
      <xdr:rowOff>190500</xdr:rowOff>
    </xdr:from>
    <xdr:to>
      <xdr:col>18</xdr:col>
      <xdr:colOff>95249</xdr:colOff>
      <xdr:row>39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57977</xdr:colOff>
      <xdr:row>10</xdr:row>
      <xdr:rowOff>173105</xdr:rowOff>
    </xdr:from>
    <xdr:to>
      <xdr:col>17</xdr:col>
      <xdr:colOff>480391</xdr:colOff>
      <xdr:row>32</xdr:row>
      <xdr:rowOff>16564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1314449</xdr:colOff>
      <xdr:row>0</xdr:row>
      <xdr:rowOff>119061</xdr:rowOff>
    </xdr:from>
    <xdr:to>
      <xdr:col>19</xdr:col>
      <xdr:colOff>219075</xdr:colOff>
      <xdr:row>12</xdr:row>
      <xdr:rowOff>57150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609600</xdr:colOff>
      <xdr:row>28</xdr:row>
      <xdr:rowOff>176211</xdr:rowOff>
    </xdr:from>
    <xdr:to>
      <xdr:col>13</xdr:col>
      <xdr:colOff>457200</xdr:colOff>
      <xdr:row>47</xdr:row>
      <xdr:rowOff>171449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600075</xdr:colOff>
      <xdr:row>50</xdr:row>
      <xdr:rowOff>176212</xdr:rowOff>
    </xdr:from>
    <xdr:to>
      <xdr:col>13</xdr:col>
      <xdr:colOff>485775</xdr:colOff>
      <xdr:row>67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199"/>
  <sheetViews>
    <sheetView zoomScale="129" zoomScaleNormal="129" workbookViewId="0">
      <selection activeCell="C1" sqref="C1:M32"/>
    </sheetView>
  </sheetViews>
  <sheetFormatPr defaultRowHeight="15.75" x14ac:dyDescent="0.25"/>
  <cols>
    <col min="1" max="1" width="13.625" style="229" customWidth="1"/>
    <col min="2" max="2" width="9" style="235" customWidth="1"/>
  </cols>
  <sheetData>
    <row r="1" spans="1:152" x14ac:dyDescent="0.25">
      <c r="A1" s="252" t="s">
        <v>367</v>
      </c>
      <c r="B1" s="264" t="s">
        <v>368</v>
      </c>
      <c r="C1" s="265" t="s">
        <v>400</v>
      </c>
      <c r="D1" s="265" t="s">
        <v>401</v>
      </c>
      <c r="E1" s="265" t="s">
        <v>402</v>
      </c>
      <c r="F1" s="265" t="s">
        <v>403</v>
      </c>
      <c r="G1" s="265" t="s">
        <v>404</v>
      </c>
      <c r="H1" s="265" t="s">
        <v>405</v>
      </c>
      <c r="I1" s="265" t="s">
        <v>406</v>
      </c>
      <c r="J1" t="s">
        <v>398</v>
      </c>
      <c r="K1" s="265" t="s">
        <v>399</v>
      </c>
      <c r="L1" s="265" t="s">
        <v>400</v>
      </c>
      <c r="M1" s="265" t="s">
        <v>401</v>
      </c>
      <c r="N1" s="265" t="s">
        <v>402</v>
      </c>
      <c r="O1" s="265" t="s">
        <v>403</v>
      </c>
      <c r="P1" s="265" t="s">
        <v>404</v>
      </c>
      <c r="Q1" s="265" t="s">
        <v>405</v>
      </c>
      <c r="R1" s="265" t="s">
        <v>406</v>
      </c>
    </row>
    <row r="2" spans="1:152" x14ac:dyDescent="0.25">
      <c r="A2" s="246">
        <v>41284</v>
      </c>
      <c r="B2" s="247">
        <v>12</v>
      </c>
      <c r="C2" s="265">
        <f t="shared" ref="C2:C33" ca="1" si="0">F2+2.66*O2</f>
        <v>23.709547038327528</v>
      </c>
      <c r="D2" s="265">
        <f t="shared" ref="D2:D33" ca="1" si="1">F2+(2/3)*2.66*O2</f>
        <v>19.449221835075495</v>
      </c>
      <c r="E2" s="265">
        <f t="shared" ref="E2:E33" ca="1" si="2">F2+(1/3)*2.66*O2</f>
        <v>15.188896631823461</v>
      </c>
      <c r="F2" s="265">
        <f t="shared" ref="F2:F43" si="3">AVERAGE($B$2:$B$43)</f>
        <v>10.928571428571429</v>
      </c>
      <c r="G2" s="265">
        <f t="shared" ref="G2:G33" ca="1" si="4">F2-(1/3)*2.66*O2</f>
        <v>6.6682462253193959</v>
      </c>
      <c r="H2" s="265">
        <f t="shared" ref="H2:H33" ca="1" si="5">F2-(2/3)*2.66*O2</f>
        <v>2.407921022067363</v>
      </c>
      <c r="I2" s="265">
        <f t="shared" ref="I2:I33" ca="1" si="6">F2-2.66*O2</f>
        <v>-1.852404181184669</v>
      </c>
      <c r="J2">
        <f>B2</f>
        <v>12</v>
      </c>
      <c r="K2" s="265"/>
      <c r="L2" s="265"/>
      <c r="M2" s="265"/>
      <c r="N2" s="265"/>
      <c r="O2" s="265">
        <f t="shared" ref="O2:O43" ca="1" si="7">AVERAGE($K$2:$K$43)</f>
        <v>4.8048780487804876</v>
      </c>
      <c r="P2" s="265"/>
      <c r="Q2" s="265"/>
      <c r="R2" s="265"/>
    </row>
    <row r="3" spans="1:152" x14ac:dyDescent="0.25">
      <c r="A3" s="246">
        <v>41291</v>
      </c>
      <c r="B3" s="247">
        <v>9</v>
      </c>
      <c r="C3" s="265">
        <f t="shared" ca="1" si="0"/>
        <v>23.709547038327528</v>
      </c>
      <c r="D3" s="265">
        <f t="shared" ca="1" si="1"/>
        <v>19.449221835075495</v>
      </c>
      <c r="E3" s="265">
        <f t="shared" ca="1" si="2"/>
        <v>15.188896631823461</v>
      </c>
      <c r="F3" s="265">
        <f t="shared" si="3"/>
        <v>10.928571428571429</v>
      </c>
      <c r="G3" s="265">
        <f t="shared" ca="1" si="4"/>
        <v>6.6682462253193959</v>
      </c>
      <c r="H3" s="265">
        <f t="shared" ca="1" si="5"/>
        <v>2.407921022067363</v>
      </c>
      <c r="I3" s="265">
        <f t="shared" ca="1" si="6"/>
        <v>-1.852404181184669</v>
      </c>
      <c r="J3">
        <f t="shared" ref="J3:J34" ca="1" si="8">IF(ISBLANK(B3),OFFSET(J3,-1,0,1,1),B3)</f>
        <v>9</v>
      </c>
      <c r="K3" s="265">
        <f t="shared" ref="K3:K34" ca="1" si="9">IF(OR(OFFSET(K3,-1,-9,1,1)="",OFFSET(K3,0,-9,1,1)=""),"",IF(ISERROR(ABS(B3-OFFSET(K3,-1,-1,1,1))),"",ABS(B3-OFFSET(K3,-1,-1,1,1))))</f>
        <v>3</v>
      </c>
      <c r="L3" s="265">
        <f t="shared" ref="L3:L34" ca="1" si="10">3.267*O3</f>
        <v>15.697536585365853</v>
      </c>
      <c r="M3" s="265">
        <f t="shared" ref="M3:M34" ca="1" si="11">(2/3)*(L3-O3)+O3</f>
        <v>12.066650406504063</v>
      </c>
      <c r="N3" s="265">
        <f t="shared" ref="N3:N34" ca="1" si="12">(1/3)*(L3-O3)+O3</f>
        <v>8.4357642276422755</v>
      </c>
      <c r="O3" s="265">
        <f t="shared" ca="1" si="7"/>
        <v>4.8048780487804876</v>
      </c>
      <c r="P3" s="265">
        <f t="shared" ref="P3:P34" ca="1" si="13">(MAX(O3-(1/3)*(L3-O3),0))</f>
        <v>1.1739918699186993</v>
      </c>
      <c r="Q3" s="265">
        <f t="shared" ref="Q3:Q34" ca="1" si="14">MAX(O3-(2/3)*(L3-O3),0)</f>
        <v>0</v>
      </c>
      <c r="R3" s="265">
        <v>0</v>
      </c>
    </row>
    <row r="4" spans="1:152" x14ac:dyDescent="0.25">
      <c r="A4" s="246">
        <v>41298</v>
      </c>
      <c r="B4" s="247">
        <v>8</v>
      </c>
      <c r="C4" s="265">
        <f t="shared" ca="1" si="0"/>
        <v>23.709547038327528</v>
      </c>
      <c r="D4" s="265">
        <f t="shared" ca="1" si="1"/>
        <v>19.449221835075495</v>
      </c>
      <c r="E4" s="265">
        <f t="shared" ca="1" si="2"/>
        <v>15.188896631823461</v>
      </c>
      <c r="F4" s="265">
        <f t="shared" si="3"/>
        <v>10.928571428571429</v>
      </c>
      <c r="G4" s="265">
        <f t="shared" ca="1" si="4"/>
        <v>6.6682462253193959</v>
      </c>
      <c r="H4" s="265">
        <f t="shared" ca="1" si="5"/>
        <v>2.407921022067363</v>
      </c>
      <c r="I4" s="265">
        <f t="shared" ca="1" si="6"/>
        <v>-1.852404181184669</v>
      </c>
      <c r="J4">
        <f t="shared" ca="1" si="8"/>
        <v>8</v>
      </c>
      <c r="K4" s="265">
        <f t="shared" ca="1" si="9"/>
        <v>1</v>
      </c>
      <c r="L4" s="265">
        <f t="shared" ca="1" si="10"/>
        <v>15.697536585365853</v>
      </c>
      <c r="M4" s="265">
        <f t="shared" ca="1" si="11"/>
        <v>12.066650406504063</v>
      </c>
      <c r="N4" s="265">
        <f t="shared" ca="1" si="12"/>
        <v>8.4357642276422755</v>
      </c>
      <c r="O4" s="265">
        <f t="shared" ca="1" si="7"/>
        <v>4.8048780487804876</v>
      </c>
      <c r="P4" s="265">
        <f t="shared" ca="1" si="13"/>
        <v>1.1739918699186993</v>
      </c>
      <c r="Q4" s="265">
        <f t="shared" ca="1" si="14"/>
        <v>0</v>
      </c>
      <c r="R4" s="265">
        <v>0</v>
      </c>
    </row>
    <row r="5" spans="1:152" x14ac:dyDescent="0.25">
      <c r="A5" s="246">
        <v>41326</v>
      </c>
      <c r="B5" s="247">
        <v>14</v>
      </c>
      <c r="C5" s="265">
        <f t="shared" ca="1" si="0"/>
        <v>23.709547038327528</v>
      </c>
      <c r="D5" s="265">
        <f t="shared" ca="1" si="1"/>
        <v>19.449221835075495</v>
      </c>
      <c r="E5" s="265">
        <f t="shared" ca="1" si="2"/>
        <v>15.188896631823461</v>
      </c>
      <c r="F5" s="265">
        <f t="shared" si="3"/>
        <v>10.928571428571429</v>
      </c>
      <c r="G5" s="265">
        <f t="shared" ca="1" si="4"/>
        <v>6.6682462253193959</v>
      </c>
      <c r="H5" s="265">
        <f t="shared" ca="1" si="5"/>
        <v>2.407921022067363</v>
      </c>
      <c r="I5" s="265">
        <f t="shared" ca="1" si="6"/>
        <v>-1.852404181184669</v>
      </c>
      <c r="J5">
        <f t="shared" ca="1" si="8"/>
        <v>14</v>
      </c>
      <c r="K5" s="265">
        <f t="shared" ca="1" si="9"/>
        <v>6</v>
      </c>
      <c r="L5" s="265">
        <f t="shared" ca="1" si="10"/>
        <v>15.697536585365853</v>
      </c>
      <c r="M5" s="265">
        <f t="shared" ca="1" si="11"/>
        <v>12.066650406504063</v>
      </c>
      <c r="N5" s="265">
        <f t="shared" ca="1" si="12"/>
        <v>8.4357642276422755</v>
      </c>
      <c r="O5" s="265">
        <f t="shared" ca="1" si="7"/>
        <v>4.8048780487804876</v>
      </c>
      <c r="P5" s="265">
        <f t="shared" ca="1" si="13"/>
        <v>1.1739918699186993</v>
      </c>
      <c r="Q5" s="265">
        <f t="shared" ca="1" si="14"/>
        <v>0</v>
      </c>
      <c r="R5" s="265">
        <v>0</v>
      </c>
    </row>
    <row r="6" spans="1:152" x14ac:dyDescent="0.25">
      <c r="A6" s="246">
        <v>41327</v>
      </c>
      <c r="B6" s="247">
        <v>9</v>
      </c>
      <c r="C6" s="265">
        <f t="shared" ca="1" si="0"/>
        <v>23.709547038327528</v>
      </c>
      <c r="D6" s="265">
        <f t="shared" ca="1" si="1"/>
        <v>19.449221835075495</v>
      </c>
      <c r="E6" s="265">
        <f t="shared" ca="1" si="2"/>
        <v>15.188896631823461</v>
      </c>
      <c r="F6" s="265">
        <f t="shared" si="3"/>
        <v>10.928571428571429</v>
      </c>
      <c r="G6" s="265">
        <f t="shared" ca="1" si="4"/>
        <v>6.6682462253193959</v>
      </c>
      <c r="H6" s="265">
        <f t="shared" ca="1" si="5"/>
        <v>2.407921022067363</v>
      </c>
      <c r="I6" s="265">
        <f t="shared" ca="1" si="6"/>
        <v>-1.852404181184669</v>
      </c>
      <c r="J6">
        <f t="shared" ca="1" si="8"/>
        <v>9</v>
      </c>
      <c r="K6" s="265">
        <f t="shared" ca="1" si="9"/>
        <v>5</v>
      </c>
      <c r="L6" s="265">
        <f t="shared" ca="1" si="10"/>
        <v>15.697536585365853</v>
      </c>
      <c r="M6" s="265">
        <f t="shared" ca="1" si="11"/>
        <v>12.066650406504063</v>
      </c>
      <c r="N6" s="265">
        <f t="shared" ca="1" si="12"/>
        <v>8.4357642276422755</v>
      </c>
      <c r="O6" s="265">
        <f t="shared" ca="1" si="7"/>
        <v>4.8048780487804876</v>
      </c>
      <c r="P6" s="265">
        <f t="shared" ca="1" si="13"/>
        <v>1.1739918699186993</v>
      </c>
      <c r="Q6" s="265">
        <f t="shared" ca="1" si="14"/>
        <v>0</v>
      </c>
      <c r="R6" s="265">
        <v>0</v>
      </c>
    </row>
    <row r="7" spans="1:152" x14ac:dyDescent="0.25">
      <c r="A7" s="246">
        <v>41354</v>
      </c>
      <c r="B7" s="247">
        <v>9</v>
      </c>
      <c r="C7" s="265">
        <f t="shared" ca="1" si="0"/>
        <v>23.709547038327528</v>
      </c>
      <c r="D7" s="265">
        <f t="shared" ca="1" si="1"/>
        <v>19.449221835075495</v>
      </c>
      <c r="E7" s="265">
        <f t="shared" ca="1" si="2"/>
        <v>15.188896631823461</v>
      </c>
      <c r="F7" s="265">
        <f t="shared" si="3"/>
        <v>10.928571428571429</v>
      </c>
      <c r="G7" s="265">
        <f t="shared" ca="1" si="4"/>
        <v>6.6682462253193959</v>
      </c>
      <c r="H7" s="265">
        <f t="shared" ca="1" si="5"/>
        <v>2.407921022067363</v>
      </c>
      <c r="I7" s="265">
        <f t="shared" ca="1" si="6"/>
        <v>-1.852404181184669</v>
      </c>
      <c r="J7">
        <f t="shared" ca="1" si="8"/>
        <v>9</v>
      </c>
      <c r="K7" s="265">
        <f t="shared" ca="1" si="9"/>
        <v>0</v>
      </c>
      <c r="L7" s="265">
        <f t="shared" ca="1" si="10"/>
        <v>15.697536585365853</v>
      </c>
      <c r="M7" s="265">
        <f t="shared" ca="1" si="11"/>
        <v>12.066650406504063</v>
      </c>
      <c r="N7" s="265">
        <f t="shared" ca="1" si="12"/>
        <v>8.4357642276422755</v>
      </c>
      <c r="O7" s="265">
        <f t="shared" ca="1" si="7"/>
        <v>4.8048780487804876</v>
      </c>
      <c r="P7" s="265">
        <f t="shared" ca="1" si="13"/>
        <v>1.1739918699186993</v>
      </c>
      <c r="Q7" s="265">
        <f t="shared" ca="1" si="14"/>
        <v>0</v>
      </c>
      <c r="R7" s="265">
        <v>0</v>
      </c>
    </row>
    <row r="8" spans="1:152" x14ac:dyDescent="0.25">
      <c r="A8" s="246">
        <v>41355</v>
      </c>
      <c r="B8" s="247">
        <v>22</v>
      </c>
      <c r="C8" s="265">
        <f t="shared" ca="1" si="0"/>
        <v>23.709547038327528</v>
      </c>
      <c r="D8" s="265">
        <f t="shared" ca="1" si="1"/>
        <v>19.449221835075495</v>
      </c>
      <c r="E8" s="265">
        <f t="shared" ca="1" si="2"/>
        <v>15.188896631823461</v>
      </c>
      <c r="F8" s="265">
        <f t="shared" si="3"/>
        <v>10.928571428571429</v>
      </c>
      <c r="G8" s="265">
        <f t="shared" ca="1" si="4"/>
        <v>6.6682462253193959</v>
      </c>
      <c r="H8" s="265">
        <f t="shared" ca="1" si="5"/>
        <v>2.407921022067363</v>
      </c>
      <c r="I8" s="265">
        <f t="shared" ca="1" si="6"/>
        <v>-1.852404181184669</v>
      </c>
      <c r="J8">
        <f t="shared" ca="1" si="8"/>
        <v>22</v>
      </c>
      <c r="K8" s="265">
        <f t="shared" ca="1" si="9"/>
        <v>13</v>
      </c>
      <c r="L8" s="265">
        <f t="shared" ca="1" si="10"/>
        <v>15.697536585365853</v>
      </c>
      <c r="M8" s="265">
        <f t="shared" ca="1" si="11"/>
        <v>12.066650406504063</v>
      </c>
      <c r="N8" s="265">
        <f t="shared" ca="1" si="12"/>
        <v>8.4357642276422755</v>
      </c>
      <c r="O8" s="265">
        <f t="shared" ca="1" si="7"/>
        <v>4.8048780487804876</v>
      </c>
      <c r="P8" s="265">
        <f t="shared" ca="1" si="13"/>
        <v>1.1739918699186993</v>
      </c>
      <c r="Q8" s="265">
        <f t="shared" ca="1" si="14"/>
        <v>0</v>
      </c>
      <c r="R8" s="265">
        <v>0</v>
      </c>
    </row>
    <row r="9" spans="1:152" x14ac:dyDescent="0.25">
      <c r="A9" s="246">
        <v>41360</v>
      </c>
      <c r="B9" s="247">
        <v>8</v>
      </c>
      <c r="C9" s="265">
        <f t="shared" ca="1" si="0"/>
        <v>23.709547038327528</v>
      </c>
      <c r="D9" s="265">
        <f t="shared" ca="1" si="1"/>
        <v>19.449221835075495</v>
      </c>
      <c r="E9" s="265">
        <f t="shared" ca="1" si="2"/>
        <v>15.188896631823461</v>
      </c>
      <c r="F9" s="265">
        <f t="shared" si="3"/>
        <v>10.928571428571429</v>
      </c>
      <c r="G9" s="265">
        <f t="shared" ca="1" si="4"/>
        <v>6.6682462253193959</v>
      </c>
      <c r="H9" s="265">
        <f t="shared" ca="1" si="5"/>
        <v>2.407921022067363</v>
      </c>
      <c r="I9" s="265">
        <f t="shared" ca="1" si="6"/>
        <v>-1.852404181184669</v>
      </c>
      <c r="J9">
        <f t="shared" ca="1" si="8"/>
        <v>8</v>
      </c>
      <c r="K9" s="265">
        <f t="shared" ca="1" si="9"/>
        <v>14</v>
      </c>
      <c r="L9" s="265">
        <f t="shared" ca="1" si="10"/>
        <v>15.697536585365853</v>
      </c>
      <c r="M9" s="265">
        <f t="shared" ca="1" si="11"/>
        <v>12.066650406504063</v>
      </c>
      <c r="N9" s="265">
        <f t="shared" ca="1" si="12"/>
        <v>8.4357642276422755</v>
      </c>
      <c r="O9" s="265">
        <f t="shared" ca="1" si="7"/>
        <v>4.8048780487804876</v>
      </c>
      <c r="P9" s="265">
        <f t="shared" ca="1" si="13"/>
        <v>1.1739918699186993</v>
      </c>
      <c r="Q9" s="265">
        <f t="shared" ca="1" si="14"/>
        <v>0</v>
      </c>
      <c r="R9" s="265">
        <v>0</v>
      </c>
    </row>
    <row r="10" spans="1:152" x14ac:dyDescent="0.25">
      <c r="A10" s="246">
        <v>41361</v>
      </c>
      <c r="B10" s="247">
        <v>9</v>
      </c>
      <c r="C10" s="265">
        <f t="shared" ca="1" si="0"/>
        <v>23.709547038327528</v>
      </c>
      <c r="D10" s="265">
        <f t="shared" ca="1" si="1"/>
        <v>19.449221835075495</v>
      </c>
      <c r="E10" s="265">
        <f t="shared" ca="1" si="2"/>
        <v>15.188896631823461</v>
      </c>
      <c r="F10" s="265">
        <f t="shared" si="3"/>
        <v>10.928571428571429</v>
      </c>
      <c r="G10" s="265">
        <f t="shared" ca="1" si="4"/>
        <v>6.6682462253193959</v>
      </c>
      <c r="H10" s="265">
        <f t="shared" ca="1" si="5"/>
        <v>2.407921022067363</v>
      </c>
      <c r="I10" s="265">
        <f t="shared" ca="1" si="6"/>
        <v>-1.852404181184669</v>
      </c>
      <c r="J10">
        <f t="shared" ca="1" si="8"/>
        <v>9</v>
      </c>
      <c r="K10" s="265">
        <f t="shared" ca="1" si="9"/>
        <v>1</v>
      </c>
      <c r="L10" s="265">
        <f t="shared" ca="1" si="10"/>
        <v>15.697536585365853</v>
      </c>
      <c r="M10" s="265">
        <f t="shared" ca="1" si="11"/>
        <v>12.066650406504063</v>
      </c>
      <c r="N10" s="265">
        <f t="shared" ca="1" si="12"/>
        <v>8.4357642276422755</v>
      </c>
      <c r="O10" s="265">
        <f t="shared" ca="1" si="7"/>
        <v>4.8048780487804876</v>
      </c>
      <c r="P10" s="265">
        <f t="shared" ca="1" si="13"/>
        <v>1.1739918699186993</v>
      </c>
      <c r="Q10" s="265">
        <f t="shared" ca="1" si="14"/>
        <v>0</v>
      </c>
      <c r="R10" s="265">
        <v>0</v>
      </c>
    </row>
    <row r="11" spans="1:152" x14ac:dyDescent="0.25">
      <c r="A11" s="245">
        <v>41375</v>
      </c>
      <c r="B11" s="247">
        <v>9</v>
      </c>
      <c r="C11" s="265">
        <f t="shared" ca="1" si="0"/>
        <v>23.709547038327528</v>
      </c>
      <c r="D11" s="265">
        <f t="shared" ca="1" si="1"/>
        <v>19.449221835075495</v>
      </c>
      <c r="E11" s="265">
        <f t="shared" ca="1" si="2"/>
        <v>15.188896631823461</v>
      </c>
      <c r="F11" s="265">
        <f t="shared" si="3"/>
        <v>10.928571428571429</v>
      </c>
      <c r="G11" s="265">
        <f t="shared" ca="1" si="4"/>
        <v>6.6682462253193959</v>
      </c>
      <c r="H11" s="265">
        <f t="shared" ca="1" si="5"/>
        <v>2.407921022067363</v>
      </c>
      <c r="I11" s="265">
        <f t="shared" ca="1" si="6"/>
        <v>-1.852404181184669</v>
      </c>
      <c r="J11">
        <f t="shared" ca="1" si="8"/>
        <v>9</v>
      </c>
      <c r="K11" s="265">
        <f t="shared" ca="1" si="9"/>
        <v>0</v>
      </c>
      <c r="L11" s="265">
        <f t="shared" ca="1" si="10"/>
        <v>15.697536585365853</v>
      </c>
      <c r="M11" s="265">
        <f t="shared" ca="1" si="11"/>
        <v>12.066650406504063</v>
      </c>
      <c r="N11" s="265">
        <f t="shared" ca="1" si="12"/>
        <v>8.4357642276422755</v>
      </c>
      <c r="O11" s="265">
        <f t="shared" ca="1" si="7"/>
        <v>4.8048780487804876</v>
      </c>
      <c r="P11" s="265">
        <f t="shared" ca="1" si="13"/>
        <v>1.1739918699186993</v>
      </c>
      <c r="Q11" s="265">
        <f t="shared" ca="1" si="14"/>
        <v>0</v>
      </c>
      <c r="R11" s="265">
        <v>0</v>
      </c>
    </row>
    <row r="12" spans="1:152" x14ac:dyDescent="0.25">
      <c r="A12" s="245">
        <v>41381</v>
      </c>
      <c r="B12" s="247">
        <v>9</v>
      </c>
      <c r="C12" s="265">
        <f t="shared" ca="1" si="0"/>
        <v>23.709547038327528</v>
      </c>
      <c r="D12" s="265">
        <f t="shared" ca="1" si="1"/>
        <v>19.449221835075495</v>
      </c>
      <c r="E12" s="265">
        <f t="shared" ca="1" si="2"/>
        <v>15.188896631823461</v>
      </c>
      <c r="F12" s="265">
        <f t="shared" si="3"/>
        <v>10.928571428571429</v>
      </c>
      <c r="G12" s="265">
        <f t="shared" ca="1" si="4"/>
        <v>6.6682462253193959</v>
      </c>
      <c r="H12" s="265">
        <f t="shared" ca="1" si="5"/>
        <v>2.407921022067363</v>
      </c>
      <c r="I12" s="265">
        <f t="shared" ca="1" si="6"/>
        <v>-1.852404181184669</v>
      </c>
      <c r="J12">
        <f t="shared" ca="1" si="8"/>
        <v>9</v>
      </c>
      <c r="K12" s="265">
        <f t="shared" ca="1" si="9"/>
        <v>0</v>
      </c>
      <c r="L12" s="265">
        <f t="shared" ca="1" si="10"/>
        <v>15.697536585365853</v>
      </c>
      <c r="M12" s="265">
        <f t="shared" ca="1" si="11"/>
        <v>12.066650406504063</v>
      </c>
      <c r="N12" s="265">
        <f t="shared" ca="1" si="12"/>
        <v>8.4357642276422755</v>
      </c>
      <c r="O12" s="265">
        <f t="shared" ca="1" si="7"/>
        <v>4.8048780487804876</v>
      </c>
      <c r="P12" s="265">
        <f t="shared" ca="1" si="13"/>
        <v>1.1739918699186993</v>
      </c>
      <c r="Q12" s="265">
        <f t="shared" ca="1" si="14"/>
        <v>0</v>
      </c>
      <c r="R12" s="265">
        <v>0</v>
      </c>
    </row>
    <row r="13" spans="1:152" x14ac:dyDescent="0.25">
      <c r="A13" s="245">
        <v>41389</v>
      </c>
      <c r="B13" s="247">
        <v>6</v>
      </c>
      <c r="C13" s="265">
        <f t="shared" ca="1" si="0"/>
        <v>23.709547038327528</v>
      </c>
      <c r="D13" s="265">
        <f t="shared" ca="1" si="1"/>
        <v>19.449221835075495</v>
      </c>
      <c r="E13" s="265">
        <f t="shared" ca="1" si="2"/>
        <v>15.188896631823461</v>
      </c>
      <c r="F13" s="265">
        <f t="shared" si="3"/>
        <v>10.928571428571429</v>
      </c>
      <c r="G13" s="265">
        <f t="shared" ca="1" si="4"/>
        <v>6.6682462253193959</v>
      </c>
      <c r="H13" s="265">
        <f t="shared" ca="1" si="5"/>
        <v>2.407921022067363</v>
      </c>
      <c r="I13" s="265">
        <f t="shared" ca="1" si="6"/>
        <v>-1.852404181184669</v>
      </c>
      <c r="J13">
        <f t="shared" ca="1" si="8"/>
        <v>6</v>
      </c>
      <c r="K13" s="265">
        <f t="shared" ca="1" si="9"/>
        <v>3</v>
      </c>
      <c r="L13" s="265">
        <f t="shared" ca="1" si="10"/>
        <v>15.697536585365853</v>
      </c>
      <c r="M13" s="265">
        <f t="shared" ca="1" si="11"/>
        <v>12.066650406504063</v>
      </c>
      <c r="N13" s="265">
        <f t="shared" ca="1" si="12"/>
        <v>8.4357642276422755</v>
      </c>
      <c r="O13" s="265">
        <f t="shared" ca="1" si="7"/>
        <v>4.8048780487804876</v>
      </c>
      <c r="P13" s="265">
        <f t="shared" ca="1" si="13"/>
        <v>1.1739918699186993</v>
      </c>
      <c r="Q13" s="265">
        <f t="shared" ca="1" si="14"/>
        <v>0</v>
      </c>
      <c r="R13" s="265">
        <v>0</v>
      </c>
    </row>
    <row r="14" spans="1:152" x14ac:dyDescent="0.25">
      <c r="A14" s="245">
        <v>41396</v>
      </c>
      <c r="B14" s="247">
        <v>11</v>
      </c>
      <c r="C14" s="265">
        <f t="shared" ca="1" si="0"/>
        <v>23.709547038327528</v>
      </c>
      <c r="D14" s="265">
        <f t="shared" ca="1" si="1"/>
        <v>19.449221835075495</v>
      </c>
      <c r="E14" s="265">
        <f t="shared" ca="1" si="2"/>
        <v>15.188896631823461</v>
      </c>
      <c r="F14" s="265">
        <f t="shared" si="3"/>
        <v>10.928571428571429</v>
      </c>
      <c r="G14" s="265">
        <f t="shared" ca="1" si="4"/>
        <v>6.6682462253193959</v>
      </c>
      <c r="H14" s="265">
        <f t="shared" ca="1" si="5"/>
        <v>2.407921022067363</v>
      </c>
      <c r="I14" s="265">
        <f t="shared" ca="1" si="6"/>
        <v>-1.852404181184669</v>
      </c>
      <c r="J14">
        <f t="shared" ca="1" si="8"/>
        <v>11</v>
      </c>
      <c r="K14" s="265">
        <f t="shared" ca="1" si="9"/>
        <v>5</v>
      </c>
      <c r="L14" s="265">
        <f t="shared" ca="1" si="10"/>
        <v>15.697536585365853</v>
      </c>
      <c r="M14" s="265">
        <f t="shared" ca="1" si="11"/>
        <v>12.066650406504063</v>
      </c>
      <c r="N14" s="265">
        <f t="shared" ca="1" si="12"/>
        <v>8.4357642276422755</v>
      </c>
      <c r="O14" s="265">
        <f t="shared" ca="1" si="7"/>
        <v>4.8048780487804876</v>
      </c>
      <c r="P14" s="265">
        <f t="shared" ca="1" si="13"/>
        <v>1.1739918699186993</v>
      </c>
      <c r="Q14" s="265">
        <f t="shared" ca="1" si="14"/>
        <v>0</v>
      </c>
      <c r="R14" s="265">
        <v>0</v>
      </c>
    </row>
    <row r="15" spans="1:152" x14ac:dyDescent="0.25">
      <c r="A15" s="245">
        <v>41402</v>
      </c>
      <c r="B15" s="247">
        <v>22</v>
      </c>
      <c r="C15" s="265">
        <f t="shared" ca="1" si="0"/>
        <v>23.709547038327528</v>
      </c>
      <c r="D15" s="265">
        <f t="shared" ca="1" si="1"/>
        <v>19.449221835075495</v>
      </c>
      <c r="E15" s="265">
        <f t="shared" ca="1" si="2"/>
        <v>15.188896631823461</v>
      </c>
      <c r="F15" s="265">
        <f t="shared" si="3"/>
        <v>10.928571428571429</v>
      </c>
      <c r="G15" s="265">
        <f t="shared" ca="1" si="4"/>
        <v>6.6682462253193959</v>
      </c>
      <c r="H15" s="265">
        <f t="shared" ca="1" si="5"/>
        <v>2.407921022067363</v>
      </c>
      <c r="I15" s="265">
        <f t="shared" ca="1" si="6"/>
        <v>-1.852404181184669</v>
      </c>
      <c r="J15">
        <f t="shared" ca="1" si="8"/>
        <v>22</v>
      </c>
      <c r="K15" s="265">
        <f t="shared" ca="1" si="9"/>
        <v>11</v>
      </c>
      <c r="L15" s="265">
        <f t="shared" ca="1" si="10"/>
        <v>15.697536585365853</v>
      </c>
      <c r="M15" s="265">
        <f t="shared" ca="1" si="11"/>
        <v>12.066650406504063</v>
      </c>
      <c r="N15" s="265">
        <f t="shared" ca="1" si="12"/>
        <v>8.4357642276422755</v>
      </c>
      <c r="O15" s="265">
        <f t="shared" ca="1" si="7"/>
        <v>4.8048780487804876</v>
      </c>
      <c r="P15" s="265">
        <f t="shared" ca="1" si="13"/>
        <v>1.1739918699186993</v>
      </c>
      <c r="Q15" s="265">
        <f t="shared" ca="1" si="14"/>
        <v>0</v>
      </c>
      <c r="R15" s="265">
        <v>0</v>
      </c>
    </row>
    <row r="16" spans="1:152" x14ac:dyDescent="0.25">
      <c r="A16" s="245">
        <v>41403</v>
      </c>
      <c r="B16" s="247">
        <v>21</v>
      </c>
      <c r="C16" s="265">
        <f t="shared" ca="1" si="0"/>
        <v>23.709547038327528</v>
      </c>
      <c r="D16" s="265">
        <f t="shared" ca="1" si="1"/>
        <v>19.449221835075495</v>
      </c>
      <c r="E16" s="265">
        <f t="shared" ca="1" si="2"/>
        <v>15.188896631823461</v>
      </c>
      <c r="F16" s="265">
        <f t="shared" si="3"/>
        <v>10.928571428571429</v>
      </c>
      <c r="G16" s="265">
        <f t="shared" ca="1" si="4"/>
        <v>6.6682462253193959</v>
      </c>
      <c r="H16" s="265">
        <f t="shared" ca="1" si="5"/>
        <v>2.407921022067363</v>
      </c>
      <c r="I16" s="265">
        <f t="shared" ca="1" si="6"/>
        <v>-1.852404181184669</v>
      </c>
      <c r="J16">
        <f t="shared" ca="1" si="8"/>
        <v>21</v>
      </c>
      <c r="K16" s="265">
        <f t="shared" ca="1" si="9"/>
        <v>1</v>
      </c>
      <c r="L16" s="265">
        <f t="shared" ca="1" si="10"/>
        <v>15.697536585365853</v>
      </c>
      <c r="M16" s="265">
        <f t="shared" ca="1" si="11"/>
        <v>12.066650406504063</v>
      </c>
      <c r="N16" s="265">
        <f t="shared" ca="1" si="12"/>
        <v>8.4357642276422755</v>
      </c>
      <c r="O16" s="265">
        <f t="shared" ca="1" si="7"/>
        <v>4.8048780487804876</v>
      </c>
      <c r="P16" s="265">
        <f t="shared" ca="1" si="13"/>
        <v>1.1739918699186993</v>
      </c>
      <c r="Q16" s="265">
        <f t="shared" ca="1" si="14"/>
        <v>0</v>
      </c>
      <c r="R16" s="265">
        <v>0</v>
      </c>
    </row>
    <row r="17" spans="1:152" x14ac:dyDescent="0.25">
      <c r="A17" s="245">
        <v>41410</v>
      </c>
      <c r="B17" s="247">
        <v>7</v>
      </c>
      <c r="C17" s="265">
        <f t="shared" ca="1" si="0"/>
        <v>23.709547038327528</v>
      </c>
      <c r="D17" s="265">
        <f t="shared" ca="1" si="1"/>
        <v>19.449221835075495</v>
      </c>
      <c r="E17" s="265">
        <f t="shared" ca="1" si="2"/>
        <v>15.188896631823461</v>
      </c>
      <c r="F17" s="265">
        <f t="shared" si="3"/>
        <v>10.928571428571429</v>
      </c>
      <c r="G17" s="265">
        <f t="shared" ca="1" si="4"/>
        <v>6.6682462253193959</v>
      </c>
      <c r="H17" s="265">
        <f t="shared" ca="1" si="5"/>
        <v>2.407921022067363</v>
      </c>
      <c r="I17" s="265">
        <f t="shared" ca="1" si="6"/>
        <v>-1.852404181184669</v>
      </c>
      <c r="J17">
        <f t="shared" ca="1" si="8"/>
        <v>7</v>
      </c>
      <c r="K17" s="265">
        <f t="shared" ca="1" si="9"/>
        <v>14</v>
      </c>
      <c r="L17" s="265">
        <f t="shared" ca="1" si="10"/>
        <v>15.697536585365853</v>
      </c>
      <c r="M17" s="265">
        <f t="shared" ca="1" si="11"/>
        <v>12.066650406504063</v>
      </c>
      <c r="N17" s="265">
        <f t="shared" ca="1" si="12"/>
        <v>8.4357642276422755</v>
      </c>
      <c r="O17" s="265">
        <f t="shared" ca="1" si="7"/>
        <v>4.8048780487804876</v>
      </c>
      <c r="P17" s="265">
        <f t="shared" ca="1" si="13"/>
        <v>1.1739918699186993</v>
      </c>
      <c r="Q17" s="265">
        <f t="shared" ca="1" si="14"/>
        <v>0</v>
      </c>
      <c r="R17" s="265">
        <v>0</v>
      </c>
    </row>
    <row r="18" spans="1:152" x14ac:dyDescent="0.25">
      <c r="A18" s="245">
        <v>41417</v>
      </c>
      <c r="B18" s="247">
        <v>9</v>
      </c>
      <c r="C18" s="265">
        <f t="shared" ca="1" si="0"/>
        <v>23.709547038327528</v>
      </c>
      <c r="D18" s="265">
        <f t="shared" ca="1" si="1"/>
        <v>19.449221835075495</v>
      </c>
      <c r="E18" s="265">
        <f t="shared" ca="1" si="2"/>
        <v>15.188896631823461</v>
      </c>
      <c r="F18" s="265">
        <f t="shared" si="3"/>
        <v>10.928571428571429</v>
      </c>
      <c r="G18" s="265">
        <f t="shared" ca="1" si="4"/>
        <v>6.6682462253193959</v>
      </c>
      <c r="H18" s="265">
        <f t="shared" ca="1" si="5"/>
        <v>2.407921022067363</v>
      </c>
      <c r="I18" s="265">
        <f t="shared" ca="1" si="6"/>
        <v>-1.852404181184669</v>
      </c>
      <c r="J18">
        <f t="shared" ca="1" si="8"/>
        <v>9</v>
      </c>
      <c r="K18" s="265">
        <f t="shared" ca="1" si="9"/>
        <v>2</v>
      </c>
      <c r="L18" s="265">
        <f t="shared" ca="1" si="10"/>
        <v>15.697536585365853</v>
      </c>
      <c r="M18" s="265">
        <f t="shared" ca="1" si="11"/>
        <v>12.066650406504063</v>
      </c>
      <c r="N18" s="265">
        <f t="shared" ca="1" si="12"/>
        <v>8.4357642276422755</v>
      </c>
      <c r="O18" s="265">
        <f t="shared" ca="1" si="7"/>
        <v>4.8048780487804876</v>
      </c>
      <c r="P18" s="265">
        <f t="shared" ca="1" si="13"/>
        <v>1.1739918699186993</v>
      </c>
      <c r="Q18" s="265">
        <f t="shared" ca="1" si="14"/>
        <v>0</v>
      </c>
      <c r="R18" s="265">
        <v>0</v>
      </c>
    </row>
    <row r="19" spans="1:152" x14ac:dyDescent="0.25">
      <c r="A19" s="245">
        <v>41418</v>
      </c>
      <c r="B19" s="247">
        <v>6</v>
      </c>
      <c r="C19" s="265">
        <f t="shared" ca="1" si="0"/>
        <v>23.709547038327528</v>
      </c>
      <c r="D19" s="265">
        <f t="shared" ca="1" si="1"/>
        <v>19.449221835075495</v>
      </c>
      <c r="E19" s="265">
        <f t="shared" ca="1" si="2"/>
        <v>15.188896631823461</v>
      </c>
      <c r="F19" s="265">
        <f t="shared" si="3"/>
        <v>10.928571428571429</v>
      </c>
      <c r="G19" s="265">
        <f t="shared" ca="1" si="4"/>
        <v>6.6682462253193959</v>
      </c>
      <c r="H19" s="265">
        <f t="shared" ca="1" si="5"/>
        <v>2.407921022067363</v>
      </c>
      <c r="I19" s="265">
        <f t="shared" ca="1" si="6"/>
        <v>-1.852404181184669</v>
      </c>
      <c r="J19">
        <f t="shared" ca="1" si="8"/>
        <v>6</v>
      </c>
      <c r="K19" s="265">
        <f t="shared" ca="1" si="9"/>
        <v>3</v>
      </c>
      <c r="L19" s="265">
        <f t="shared" ca="1" si="10"/>
        <v>15.697536585365853</v>
      </c>
      <c r="M19" s="265">
        <f t="shared" ca="1" si="11"/>
        <v>12.066650406504063</v>
      </c>
      <c r="N19" s="265">
        <f t="shared" ca="1" si="12"/>
        <v>8.4357642276422755</v>
      </c>
      <c r="O19" s="265">
        <f t="shared" ca="1" si="7"/>
        <v>4.8048780487804876</v>
      </c>
      <c r="P19" s="265">
        <f t="shared" ca="1" si="13"/>
        <v>1.1739918699186993</v>
      </c>
      <c r="Q19" s="265">
        <f t="shared" ca="1" si="14"/>
        <v>0</v>
      </c>
      <c r="R19" s="265">
        <v>0</v>
      </c>
    </row>
    <row r="20" spans="1:152" x14ac:dyDescent="0.25">
      <c r="A20" s="245">
        <v>41439</v>
      </c>
      <c r="B20" s="247">
        <v>14</v>
      </c>
      <c r="C20" s="265">
        <f t="shared" ca="1" si="0"/>
        <v>23.709547038327528</v>
      </c>
      <c r="D20" s="265">
        <f t="shared" ca="1" si="1"/>
        <v>19.449221835075495</v>
      </c>
      <c r="E20" s="265">
        <f t="shared" ca="1" si="2"/>
        <v>15.188896631823461</v>
      </c>
      <c r="F20" s="265">
        <f t="shared" si="3"/>
        <v>10.928571428571429</v>
      </c>
      <c r="G20" s="265">
        <f t="shared" ca="1" si="4"/>
        <v>6.6682462253193959</v>
      </c>
      <c r="H20" s="265">
        <f t="shared" ca="1" si="5"/>
        <v>2.407921022067363</v>
      </c>
      <c r="I20" s="265">
        <f t="shared" ca="1" si="6"/>
        <v>-1.852404181184669</v>
      </c>
      <c r="J20">
        <f t="shared" ca="1" si="8"/>
        <v>14</v>
      </c>
      <c r="K20" s="265">
        <f t="shared" ca="1" si="9"/>
        <v>8</v>
      </c>
      <c r="L20" s="265">
        <f t="shared" ca="1" si="10"/>
        <v>15.697536585365853</v>
      </c>
      <c r="M20" s="265">
        <f t="shared" ca="1" si="11"/>
        <v>12.066650406504063</v>
      </c>
      <c r="N20" s="265">
        <f t="shared" ca="1" si="12"/>
        <v>8.4357642276422755</v>
      </c>
      <c r="O20" s="265">
        <f t="shared" ca="1" si="7"/>
        <v>4.8048780487804876</v>
      </c>
      <c r="P20" s="265">
        <f t="shared" ca="1" si="13"/>
        <v>1.1739918699186993</v>
      </c>
      <c r="Q20" s="265">
        <f t="shared" ca="1" si="14"/>
        <v>0</v>
      </c>
      <c r="R20" s="265">
        <v>0</v>
      </c>
    </row>
    <row r="21" spans="1:152" x14ac:dyDescent="0.25">
      <c r="A21" s="245">
        <v>41446</v>
      </c>
      <c r="B21" s="247">
        <v>7</v>
      </c>
      <c r="C21" s="265">
        <f t="shared" ca="1" si="0"/>
        <v>23.709547038327528</v>
      </c>
      <c r="D21" s="265">
        <f t="shared" ca="1" si="1"/>
        <v>19.449221835075495</v>
      </c>
      <c r="E21" s="265">
        <f t="shared" ca="1" si="2"/>
        <v>15.188896631823461</v>
      </c>
      <c r="F21" s="265">
        <f t="shared" si="3"/>
        <v>10.928571428571429</v>
      </c>
      <c r="G21" s="265">
        <f t="shared" ca="1" si="4"/>
        <v>6.6682462253193959</v>
      </c>
      <c r="H21" s="265">
        <f t="shared" ca="1" si="5"/>
        <v>2.407921022067363</v>
      </c>
      <c r="I21" s="265">
        <f t="shared" ca="1" si="6"/>
        <v>-1.852404181184669</v>
      </c>
      <c r="J21">
        <f t="shared" ca="1" si="8"/>
        <v>7</v>
      </c>
      <c r="K21" s="265">
        <f t="shared" ca="1" si="9"/>
        <v>7</v>
      </c>
      <c r="L21" s="265">
        <f t="shared" ca="1" si="10"/>
        <v>15.697536585365853</v>
      </c>
      <c r="M21" s="265">
        <f t="shared" ca="1" si="11"/>
        <v>12.066650406504063</v>
      </c>
      <c r="N21" s="265">
        <f t="shared" ca="1" si="12"/>
        <v>8.4357642276422755</v>
      </c>
      <c r="O21" s="265">
        <f t="shared" ca="1" si="7"/>
        <v>4.8048780487804876</v>
      </c>
      <c r="P21" s="265">
        <f t="shared" ca="1" si="13"/>
        <v>1.1739918699186993</v>
      </c>
      <c r="Q21" s="265">
        <f t="shared" ca="1" si="14"/>
        <v>0</v>
      </c>
      <c r="R21" s="265">
        <v>0</v>
      </c>
    </row>
    <row r="22" spans="1:152" x14ac:dyDescent="0.25">
      <c r="A22" s="245">
        <v>41452</v>
      </c>
      <c r="B22" s="247">
        <v>8</v>
      </c>
      <c r="C22" s="265">
        <f t="shared" ca="1" si="0"/>
        <v>23.709547038327528</v>
      </c>
      <c r="D22" s="265">
        <f t="shared" ca="1" si="1"/>
        <v>19.449221835075495</v>
      </c>
      <c r="E22" s="265">
        <f t="shared" ca="1" si="2"/>
        <v>15.188896631823461</v>
      </c>
      <c r="F22" s="265">
        <f t="shared" si="3"/>
        <v>10.928571428571429</v>
      </c>
      <c r="G22" s="265">
        <f t="shared" ca="1" si="4"/>
        <v>6.6682462253193959</v>
      </c>
      <c r="H22" s="265">
        <f t="shared" ca="1" si="5"/>
        <v>2.407921022067363</v>
      </c>
      <c r="I22" s="265">
        <f t="shared" ca="1" si="6"/>
        <v>-1.852404181184669</v>
      </c>
      <c r="J22">
        <f t="shared" ca="1" si="8"/>
        <v>8</v>
      </c>
      <c r="K22" s="265">
        <f t="shared" ca="1" si="9"/>
        <v>1</v>
      </c>
      <c r="L22" s="265">
        <f t="shared" ca="1" si="10"/>
        <v>15.697536585365853</v>
      </c>
      <c r="M22" s="265">
        <f t="shared" ca="1" si="11"/>
        <v>12.066650406504063</v>
      </c>
      <c r="N22" s="265">
        <f t="shared" ca="1" si="12"/>
        <v>8.4357642276422755</v>
      </c>
      <c r="O22" s="265">
        <f t="shared" ca="1" si="7"/>
        <v>4.8048780487804876</v>
      </c>
      <c r="P22" s="265">
        <f t="shared" ca="1" si="13"/>
        <v>1.1739918699186993</v>
      </c>
      <c r="Q22" s="265">
        <f t="shared" ca="1" si="14"/>
        <v>0</v>
      </c>
      <c r="R22" s="265">
        <v>0</v>
      </c>
    </row>
    <row r="23" spans="1:152" x14ac:dyDescent="0.25">
      <c r="A23" s="245">
        <v>41494</v>
      </c>
      <c r="B23" s="247">
        <v>11</v>
      </c>
      <c r="C23" s="265">
        <f t="shared" ca="1" si="0"/>
        <v>23.709547038327528</v>
      </c>
      <c r="D23" s="265">
        <f t="shared" ca="1" si="1"/>
        <v>19.449221835075495</v>
      </c>
      <c r="E23" s="265">
        <f t="shared" ca="1" si="2"/>
        <v>15.188896631823461</v>
      </c>
      <c r="F23" s="265">
        <f t="shared" si="3"/>
        <v>10.928571428571429</v>
      </c>
      <c r="G23" s="265">
        <f t="shared" ca="1" si="4"/>
        <v>6.6682462253193959</v>
      </c>
      <c r="H23" s="265">
        <f t="shared" ca="1" si="5"/>
        <v>2.407921022067363</v>
      </c>
      <c r="I23" s="265">
        <f t="shared" ca="1" si="6"/>
        <v>-1.852404181184669</v>
      </c>
      <c r="J23">
        <f t="shared" ca="1" si="8"/>
        <v>11</v>
      </c>
      <c r="K23" s="265">
        <f t="shared" ca="1" si="9"/>
        <v>3</v>
      </c>
      <c r="L23" s="265">
        <f t="shared" ca="1" si="10"/>
        <v>15.697536585365853</v>
      </c>
      <c r="M23" s="265">
        <f t="shared" ca="1" si="11"/>
        <v>12.066650406504063</v>
      </c>
      <c r="N23" s="265">
        <f t="shared" ca="1" si="12"/>
        <v>8.4357642276422755</v>
      </c>
      <c r="O23" s="265">
        <f t="shared" ca="1" si="7"/>
        <v>4.8048780487804876</v>
      </c>
      <c r="P23" s="265">
        <f t="shared" ca="1" si="13"/>
        <v>1.1739918699186993</v>
      </c>
      <c r="Q23" s="265">
        <f t="shared" ca="1" si="14"/>
        <v>0</v>
      </c>
      <c r="R23" s="265">
        <v>0</v>
      </c>
    </row>
    <row r="24" spans="1:152" x14ac:dyDescent="0.25">
      <c r="A24" s="245">
        <v>41508</v>
      </c>
      <c r="B24" s="247">
        <v>8</v>
      </c>
      <c r="C24" s="265">
        <f t="shared" ca="1" si="0"/>
        <v>23.709547038327528</v>
      </c>
      <c r="D24" s="265">
        <f t="shared" ca="1" si="1"/>
        <v>19.449221835075495</v>
      </c>
      <c r="E24" s="265">
        <f t="shared" ca="1" si="2"/>
        <v>15.188896631823461</v>
      </c>
      <c r="F24" s="265">
        <f t="shared" si="3"/>
        <v>10.928571428571429</v>
      </c>
      <c r="G24" s="265">
        <f t="shared" ca="1" si="4"/>
        <v>6.6682462253193959</v>
      </c>
      <c r="H24" s="265">
        <f t="shared" ca="1" si="5"/>
        <v>2.407921022067363</v>
      </c>
      <c r="I24" s="265">
        <f t="shared" ca="1" si="6"/>
        <v>-1.852404181184669</v>
      </c>
      <c r="J24">
        <f t="shared" ca="1" si="8"/>
        <v>8</v>
      </c>
      <c r="K24" s="265">
        <f t="shared" ca="1" si="9"/>
        <v>3</v>
      </c>
      <c r="L24" s="265">
        <f t="shared" ca="1" si="10"/>
        <v>15.697536585365853</v>
      </c>
      <c r="M24" s="265">
        <f t="shared" ca="1" si="11"/>
        <v>12.066650406504063</v>
      </c>
      <c r="N24" s="265">
        <f t="shared" ca="1" si="12"/>
        <v>8.4357642276422755</v>
      </c>
      <c r="O24" s="265">
        <f t="shared" ca="1" si="7"/>
        <v>4.8048780487804876</v>
      </c>
      <c r="P24" s="265">
        <f t="shared" ca="1" si="13"/>
        <v>1.1739918699186993</v>
      </c>
      <c r="Q24" s="265">
        <f t="shared" ca="1" si="14"/>
        <v>0</v>
      </c>
      <c r="R24" s="265">
        <v>0</v>
      </c>
    </row>
    <row r="25" spans="1:152" x14ac:dyDescent="0.25">
      <c r="A25" s="245">
        <v>41522</v>
      </c>
      <c r="B25" s="247">
        <v>13</v>
      </c>
      <c r="C25" s="265">
        <f t="shared" ca="1" si="0"/>
        <v>23.709547038327528</v>
      </c>
      <c r="D25" s="265">
        <f t="shared" ca="1" si="1"/>
        <v>19.449221835075495</v>
      </c>
      <c r="E25" s="265">
        <f t="shared" ca="1" si="2"/>
        <v>15.188896631823461</v>
      </c>
      <c r="F25" s="265">
        <f t="shared" si="3"/>
        <v>10.928571428571429</v>
      </c>
      <c r="G25" s="265">
        <f t="shared" ca="1" si="4"/>
        <v>6.6682462253193959</v>
      </c>
      <c r="H25" s="265">
        <f t="shared" ca="1" si="5"/>
        <v>2.407921022067363</v>
      </c>
      <c r="I25" s="265">
        <f t="shared" ca="1" si="6"/>
        <v>-1.852404181184669</v>
      </c>
      <c r="J25">
        <f t="shared" ca="1" si="8"/>
        <v>13</v>
      </c>
      <c r="K25" s="265">
        <f t="shared" ca="1" si="9"/>
        <v>5</v>
      </c>
      <c r="L25" s="265">
        <f t="shared" ca="1" si="10"/>
        <v>15.697536585365853</v>
      </c>
      <c r="M25" s="265">
        <f t="shared" ca="1" si="11"/>
        <v>12.066650406504063</v>
      </c>
      <c r="N25" s="265">
        <f t="shared" ca="1" si="12"/>
        <v>8.4357642276422755</v>
      </c>
      <c r="O25" s="265">
        <f t="shared" ca="1" si="7"/>
        <v>4.8048780487804876</v>
      </c>
      <c r="P25" s="265">
        <f t="shared" ca="1" si="13"/>
        <v>1.1739918699186993</v>
      </c>
      <c r="Q25" s="265">
        <f t="shared" ca="1" si="14"/>
        <v>0</v>
      </c>
      <c r="R25" s="265">
        <v>0</v>
      </c>
    </row>
    <row r="26" spans="1:152" x14ac:dyDescent="0.25">
      <c r="A26" s="245">
        <v>41535</v>
      </c>
      <c r="B26" s="247">
        <v>14</v>
      </c>
      <c r="C26" s="265">
        <f t="shared" ca="1" si="0"/>
        <v>23.709547038327528</v>
      </c>
      <c r="D26" s="265">
        <f t="shared" ca="1" si="1"/>
        <v>19.449221835075495</v>
      </c>
      <c r="E26" s="265">
        <f t="shared" ca="1" si="2"/>
        <v>15.188896631823461</v>
      </c>
      <c r="F26" s="265">
        <f t="shared" si="3"/>
        <v>10.928571428571429</v>
      </c>
      <c r="G26" s="265">
        <f t="shared" ca="1" si="4"/>
        <v>6.6682462253193959</v>
      </c>
      <c r="H26" s="265">
        <f t="shared" ca="1" si="5"/>
        <v>2.407921022067363</v>
      </c>
      <c r="I26" s="265">
        <f t="shared" ca="1" si="6"/>
        <v>-1.852404181184669</v>
      </c>
      <c r="J26">
        <f t="shared" ca="1" si="8"/>
        <v>14</v>
      </c>
      <c r="K26" s="265">
        <f t="shared" ca="1" si="9"/>
        <v>1</v>
      </c>
      <c r="L26" s="265">
        <f t="shared" ca="1" si="10"/>
        <v>15.697536585365853</v>
      </c>
      <c r="M26" s="265">
        <f t="shared" ca="1" si="11"/>
        <v>12.066650406504063</v>
      </c>
      <c r="N26" s="265">
        <f t="shared" ca="1" si="12"/>
        <v>8.4357642276422755</v>
      </c>
      <c r="O26" s="265">
        <f t="shared" ca="1" si="7"/>
        <v>4.8048780487804876</v>
      </c>
      <c r="P26" s="265">
        <f t="shared" ca="1" si="13"/>
        <v>1.1739918699186993</v>
      </c>
      <c r="Q26" s="265">
        <f t="shared" ca="1" si="14"/>
        <v>0</v>
      </c>
      <c r="R26" s="265">
        <v>0</v>
      </c>
    </row>
    <row r="27" spans="1:152" x14ac:dyDescent="0.25">
      <c r="A27" s="245">
        <v>41600</v>
      </c>
      <c r="B27" s="247">
        <v>14</v>
      </c>
      <c r="C27" s="265">
        <f t="shared" ca="1" si="0"/>
        <v>23.709547038327528</v>
      </c>
      <c r="D27" s="265">
        <f t="shared" ca="1" si="1"/>
        <v>19.449221835075495</v>
      </c>
      <c r="E27" s="265">
        <f t="shared" ca="1" si="2"/>
        <v>15.188896631823461</v>
      </c>
      <c r="F27" s="265">
        <f t="shared" si="3"/>
        <v>10.928571428571429</v>
      </c>
      <c r="G27" s="265">
        <f t="shared" ca="1" si="4"/>
        <v>6.6682462253193959</v>
      </c>
      <c r="H27" s="265">
        <f t="shared" ca="1" si="5"/>
        <v>2.407921022067363</v>
      </c>
      <c r="I27" s="265">
        <f t="shared" ca="1" si="6"/>
        <v>-1.852404181184669</v>
      </c>
      <c r="J27">
        <f t="shared" ca="1" si="8"/>
        <v>14</v>
      </c>
      <c r="K27" s="265">
        <f t="shared" ca="1" si="9"/>
        <v>0</v>
      </c>
      <c r="L27" s="265">
        <f t="shared" ca="1" si="10"/>
        <v>15.697536585365853</v>
      </c>
      <c r="M27" s="265">
        <f t="shared" ca="1" si="11"/>
        <v>12.066650406504063</v>
      </c>
      <c r="N27" s="265">
        <f t="shared" ca="1" si="12"/>
        <v>8.4357642276422755</v>
      </c>
      <c r="O27" s="265">
        <f t="shared" ca="1" si="7"/>
        <v>4.8048780487804876</v>
      </c>
      <c r="P27" s="265">
        <f t="shared" ca="1" si="13"/>
        <v>1.1739918699186993</v>
      </c>
      <c r="Q27" s="265">
        <f t="shared" ca="1" si="14"/>
        <v>0</v>
      </c>
      <c r="R27" s="265">
        <v>0</v>
      </c>
    </row>
    <row r="28" spans="1:152" x14ac:dyDescent="0.25">
      <c r="A28" s="245">
        <v>41619</v>
      </c>
      <c r="B28" s="247">
        <v>13</v>
      </c>
      <c r="C28" s="265">
        <f t="shared" ca="1" si="0"/>
        <v>23.709547038327528</v>
      </c>
      <c r="D28" s="265">
        <f t="shared" ca="1" si="1"/>
        <v>19.449221835075495</v>
      </c>
      <c r="E28" s="265">
        <f t="shared" ca="1" si="2"/>
        <v>15.188896631823461</v>
      </c>
      <c r="F28" s="265">
        <f t="shared" si="3"/>
        <v>10.928571428571429</v>
      </c>
      <c r="G28" s="265">
        <f t="shared" ca="1" si="4"/>
        <v>6.6682462253193959</v>
      </c>
      <c r="H28" s="265">
        <f t="shared" ca="1" si="5"/>
        <v>2.407921022067363</v>
      </c>
      <c r="I28" s="265">
        <f t="shared" ca="1" si="6"/>
        <v>-1.852404181184669</v>
      </c>
      <c r="J28">
        <f t="shared" ca="1" si="8"/>
        <v>13</v>
      </c>
      <c r="K28" s="265">
        <f t="shared" ca="1" si="9"/>
        <v>1</v>
      </c>
      <c r="L28" s="265">
        <f t="shared" ca="1" si="10"/>
        <v>15.697536585365853</v>
      </c>
      <c r="M28" s="265">
        <f t="shared" ca="1" si="11"/>
        <v>12.066650406504063</v>
      </c>
      <c r="N28" s="265">
        <f t="shared" ca="1" si="12"/>
        <v>8.4357642276422755</v>
      </c>
      <c r="O28" s="265">
        <f t="shared" ca="1" si="7"/>
        <v>4.8048780487804876</v>
      </c>
      <c r="P28" s="265">
        <f t="shared" ca="1" si="13"/>
        <v>1.1739918699186993</v>
      </c>
      <c r="Q28" s="265">
        <f t="shared" ca="1" si="14"/>
        <v>0</v>
      </c>
      <c r="R28" s="265">
        <v>0</v>
      </c>
    </row>
    <row r="29" spans="1:152" x14ac:dyDescent="0.25">
      <c r="A29" s="245">
        <v>41684</v>
      </c>
      <c r="B29" s="247">
        <v>9</v>
      </c>
      <c r="C29" s="265">
        <f t="shared" ca="1" si="0"/>
        <v>23.709547038327528</v>
      </c>
      <c r="D29" s="265">
        <f t="shared" ca="1" si="1"/>
        <v>19.449221835075495</v>
      </c>
      <c r="E29" s="265">
        <f t="shared" ca="1" si="2"/>
        <v>15.188896631823461</v>
      </c>
      <c r="F29" s="265">
        <f t="shared" si="3"/>
        <v>10.928571428571429</v>
      </c>
      <c r="G29" s="265">
        <f t="shared" ca="1" si="4"/>
        <v>6.6682462253193959</v>
      </c>
      <c r="H29" s="265">
        <f t="shared" ca="1" si="5"/>
        <v>2.407921022067363</v>
      </c>
      <c r="I29" s="265">
        <f t="shared" ca="1" si="6"/>
        <v>-1.852404181184669</v>
      </c>
      <c r="J29">
        <f t="shared" ca="1" si="8"/>
        <v>9</v>
      </c>
      <c r="K29" s="265">
        <f t="shared" ca="1" si="9"/>
        <v>4</v>
      </c>
      <c r="L29" s="265">
        <f t="shared" ca="1" si="10"/>
        <v>15.697536585365853</v>
      </c>
      <c r="M29" s="265">
        <f t="shared" ca="1" si="11"/>
        <v>12.066650406504063</v>
      </c>
      <c r="N29" s="265">
        <f t="shared" ca="1" si="12"/>
        <v>8.4357642276422755</v>
      </c>
      <c r="O29" s="265">
        <f t="shared" ca="1" si="7"/>
        <v>4.8048780487804876</v>
      </c>
      <c r="P29" s="265">
        <f t="shared" ca="1" si="13"/>
        <v>1.1739918699186993</v>
      </c>
      <c r="Q29" s="265">
        <f t="shared" ca="1" si="14"/>
        <v>0</v>
      </c>
      <c r="R29" s="265">
        <v>0</v>
      </c>
    </row>
    <row r="30" spans="1:152" x14ac:dyDescent="0.25">
      <c r="A30" s="245">
        <v>41697</v>
      </c>
      <c r="B30" s="247">
        <v>7</v>
      </c>
      <c r="C30" s="265">
        <f t="shared" ca="1" si="0"/>
        <v>23.709547038327528</v>
      </c>
      <c r="D30" s="265">
        <f t="shared" ca="1" si="1"/>
        <v>19.449221835075495</v>
      </c>
      <c r="E30" s="265">
        <f t="shared" ca="1" si="2"/>
        <v>15.188896631823461</v>
      </c>
      <c r="F30" s="265">
        <f t="shared" si="3"/>
        <v>10.928571428571429</v>
      </c>
      <c r="G30" s="265">
        <f t="shared" ca="1" si="4"/>
        <v>6.6682462253193959</v>
      </c>
      <c r="H30" s="265">
        <f t="shared" ca="1" si="5"/>
        <v>2.407921022067363</v>
      </c>
      <c r="I30" s="265">
        <f t="shared" ca="1" si="6"/>
        <v>-1.852404181184669</v>
      </c>
      <c r="J30">
        <f t="shared" ca="1" si="8"/>
        <v>7</v>
      </c>
      <c r="K30" s="265">
        <f t="shared" ca="1" si="9"/>
        <v>2</v>
      </c>
      <c r="L30" s="265">
        <f t="shared" ca="1" si="10"/>
        <v>15.697536585365853</v>
      </c>
      <c r="M30" s="265">
        <f t="shared" ca="1" si="11"/>
        <v>12.066650406504063</v>
      </c>
      <c r="N30" s="265">
        <f t="shared" ca="1" si="12"/>
        <v>8.4357642276422755</v>
      </c>
      <c r="O30" s="265">
        <f t="shared" ca="1" si="7"/>
        <v>4.8048780487804876</v>
      </c>
      <c r="P30" s="265">
        <f t="shared" ca="1" si="13"/>
        <v>1.1739918699186993</v>
      </c>
      <c r="Q30" s="265">
        <f t="shared" ca="1" si="14"/>
        <v>0</v>
      </c>
      <c r="R30" s="265">
        <v>0</v>
      </c>
    </row>
    <row r="31" spans="1:152" x14ac:dyDescent="0.25">
      <c r="A31" s="245">
        <v>41704</v>
      </c>
      <c r="B31" s="247">
        <v>7</v>
      </c>
      <c r="C31" s="265">
        <f t="shared" ca="1" si="0"/>
        <v>23.709547038327528</v>
      </c>
      <c r="D31" s="265">
        <f t="shared" ca="1" si="1"/>
        <v>19.449221835075495</v>
      </c>
      <c r="E31" s="265">
        <f t="shared" ca="1" si="2"/>
        <v>15.188896631823461</v>
      </c>
      <c r="F31" s="265">
        <f t="shared" si="3"/>
        <v>10.928571428571429</v>
      </c>
      <c r="G31" s="265">
        <f t="shared" ca="1" si="4"/>
        <v>6.6682462253193959</v>
      </c>
      <c r="H31" s="265">
        <f t="shared" ca="1" si="5"/>
        <v>2.407921022067363</v>
      </c>
      <c r="I31" s="265">
        <f t="shared" ca="1" si="6"/>
        <v>-1.852404181184669</v>
      </c>
      <c r="J31">
        <f t="shared" ca="1" si="8"/>
        <v>7</v>
      </c>
      <c r="K31" s="265">
        <f t="shared" ca="1" si="9"/>
        <v>0</v>
      </c>
      <c r="L31" s="265">
        <f t="shared" ca="1" si="10"/>
        <v>15.697536585365853</v>
      </c>
      <c r="M31" s="265">
        <f t="shared" ca="1" si="11"/>
        <v>12.066650406504063</v>
      </c>
      <c r="N31" s="265">
        <f t="shared" ca="1" si="12"/>
        <v>8.4357642276422755</v>
      </c>
      <c r="O31" s="265">
        <f t="shared" ca="1" si="7"/>
        <v>4.8048780487804876</v>
      </c>
      <c r="P31" s="265">
        <f t="shared" ca="1" si="13"/>
        <v>1.1739918699186993</v>
      </c>
      <c r="Q31" s="265">
        <f t="shared" ca="1" si="14"/>
        <v>0</v>
      </c>
      <c r="R31" s="265">
        <v>0</v>
      </c>
    </row>
    <row r="32" spans="1:152" x14ac:dyDescent="0.25">
      <c r="A32" s="245">
        <v>41725</v>
      </c>
      <c r="B32" s="247">
        <v>18</v>
      </c>
      <c r="C32" s="265">
        <f t="shared" ca="1" si="0"/>
        <v>23.709547038327528</v>
      </c>
      <c r="D32" s="265">
        <f t="shared" ca="1" si="1"/>
        <v>19.449221835075495</v>
      </c>
      <c r="E32" s="265">
        <f t="shared" ca="1" si="2"/>
        <v>15.188896631823461</v>
      </c>
      <c r="F32" s="265">
        <f t="shared" si="3"/>
        <v>10.928571428571429</v>
      </c>
      <c r="G32" s="265">
        <f t="shared" ca="1" si="4"/>
        <v>6.6682462253193959</v>
      </c>
      <c r="H32" s="265">
        <f t="shared" ca="1" si="5"/>
        <v>2.407921022067363</v>
      </c>
      <c r="I32" s="265">
        <f t="shared" ca="1" si="6"/>
        <v>-1.852404181184669</v>
      </c>
      <c r="J32">
        <f t="shared" ca="1" si="8"/>
        <v>18</v>
      </c>
      <c r="K32" s="265">
        <f t="shared" ca="1" si="9"/>
        <v>11</v>
      </c>
      <c r="L32" s="265">
        <f t="shared" ca="1" si="10"/>
        <v>15.697536585365853</v>
      </c>
      <c r="M32" s="265">
        <f t="shared" ca="1" si="11"/>
        <v>12.066650406504063</v>
      </c>
      <c r="N32" s="265">
        <f t="shared" ca="1" si="12"/>
        <v>8.4357642276422755</v>
      </c>
      <c r="O32" s="265">
        <f t="shared" ca="1" si="7"/>
        <v>4.8048780487804876</v>
      </c>
      <c r="P32" s="265">
        <f t="shared" ca="1" si="13"/>
        <v>1.1739918699186993</v>
      </c>
      <c r="Q32" s="265">
        <f t="shared" ca="1" si="14"/>
        <v>0</v>
      </c>
      <c r="R32" s="265">
        <v>0</v>
      </c>
    </row>
    <row r="33" spans="1:152" x14ac:dyDescent="0.25">
      <c r="A33" s="245">
        <v>41732</v>
      </c>
      <c r="B33" s="247">
        <v>10</v>
      </c>
      <c r="C33" s="265">
        <f t="shared" ca="1" si="0"/>
        <v>23.709547038327528</v>
      </c>
      <c r="D33" s="265">
        <f t="shared" ca="1" si="1"/>
        <v>19.449221835075495</v>
      </c>
      <c r="E33" s="265">
        <f t="shared" ca="1" si="2"/>
        <v>15.188896631823461</v>
      </c>
      <c r="F33" s="265">
        <f t="shared" si="3"/>
        <v>10.928571428571429</v>
      </c>
      <c r="G33" s="265">
        <f t="shared" ca="1" si="4"/>
        <v>6.6682462253193959</v>
      </c>
      <c r="H33" s="265">
        <f t="shared" ca="1" si="5"/>
        <v>2.407921022067363</v>
      </c>
      <c r="I33" s="265">
        <f t="shared" ca="1" si="6"/>
        <v>-1.852404181184669</v>
      </c>
      <c r="J33">
        <f t="shared" ca="1" si="8"/>
        <v>10</v>
      </c>
      <c r="K33" s="265">
        <f t="shared" ca="1" si="9"/>
        <v>8</v>
      </c>
      <c r="L33" s="265">
        <f t="shared" ca="1" si="10"/>
        <v>15.697536585365853</v>
      </c>
      <c r="M33" s="265">
        <f t="shared" ca="1" si="11"/>
        <v>12.066650406504063</v>
      </c>
      <c r="N33" s="265">
        <f t="shared" ca="1" si="12"/>
        <v>8.4357642276422755</v>
      </c>
      <c r="O33" s="265">
        <f t="shared" ca="1" si="7"/>
        <v>4.8048780487804876</v>
      </c>
      <c r="P33" s="265">
        <f t="shared" ca="1" si="13"/>
        <v>1.1739918699186993</v>
      </c>
      <c r="Q33" s="265">
        <f t="shared" ca="1" si="14"/>
        <v>0</v>
      </c>
      <c r="R33" s="265">
        <v>0</v>
      </c>
    </row>
    <row r="34" spans="1:152" x14ac:dyDescent="0.25">
      <c r="A34" s="245">
        <v>41733</v>
      </c>
      <c r="B34" s="247">
        <v>20</v>
      </c>
      <c r="C34" s="265">
        <f t="shared" ref="C34:C65" ca="1" si="15">F34+2.66*O34</f>
        <v>23.709547038327528</v>
      </c>
      <c r="D34" s="265">
        <f t="shared" ref="D34:D65" ca="1" si="16">F34+(2/3)*2.66*O34</f>
        <v>19.449221835075495</v>
      </c>
      <c r="E34" s="265">
        <f t="shared" ref="E34:E65" ca="1" si="17">F34+(1/3)*2.66*O34</f>
        <v>15.188896631823461</v>
      </c>
      <c r="F34" s="265">
        <f t="shared" si="3"/>
        <v>10.928571428571429</v>
      </c>
      <c r="G34" s="265">
        <f t="shared" ref="G34:G65" ca="1" si="18">F34-(1/3)*2.66*O34</f>
        <v>6.6682462253193959</v>
      </c>
      <c r="H34" s="265">
        <f t="shared" ref="H34:H65" ca="1" si="19">F34-(2/3)*2.66*O34</f>
        <v>2.407921022067363</v>
      </c>
      <c r="I34" s="265">
        <f t="shared" ref="I34:I65" ca="1" si="20">F34-2.66*O34</f>
        <v>-1.852404181184669</v>
      </c>
      <c r="J34">
        <f t="shared" ca="1" si="8"/>
        <v>20</v>
      </c>
      <c r="K34" s="265">
        <f t="shared" ca="1" si="9"/>
        <v>10</v>
      </c>
      <c r="L34" s="265">
        <f t="shared" ca="1" si="10"/>
        <v>15.697536585365853</v>
      </c>
      <c r="M34" s="265">
        <f t="shared" ca="1" si="11"/>
        <v>12.066650406504063</v>
      </c>
      <c r="N34" s="265">
        <f t="shared" ca="1" si="12"/>
        <v>8.4357642276422755</v>
      </c>
      <c r="O34" s="265">
        <f t="shared" ca="1" si="7"/>
        <v>4.8048780487804876</v>
      </c>
      <c r="P34" s="265">
        <f t="shared" ca="1" si="13"/>
        <v>1.1739918699186993</v>
      </c>
      <c r="Q34" s="265">
        <f t="shared" ca="1" si="14"/>
        <v>0</v>
      </c>
      <c r="R34" s="265">
        <v>0</v>
      </c>
    </row>
    <row r="35" spans="1:152" x14ac:dyDescent="0.25">
      <c r="A35" s="245">
        <v>41739</v>
      </c>
      <c r="B35" s="247">
        <v>7</v>
      </c>
      <c r="C35" s="265">
        <f t="shared" ca="1" si="15"/>
        <v>23.709547038327528</v>
      </c>
      <c r="D35" s="265">
        <f t="shared" ca="1" si="16"/>
        <v>19.449221835075495</v>
      </c>
      <c r="E35" s="265">
        <f t="shared" ca="1" si="17"/>
        <v>15.188896631823461</v>
      </c>
      <c r="F35" s="265">
        <f t="shared" si="3"/>
        <v>10.928571428571429</v>
      </c>
      <c r="G35" s="265">
        <f t="shared" ca="1" si="18"/>
        <v>6.6682462253193959</v>
      </c>
      <c r="H35" s="265">
        <f t="shared" ca="1" si="19"/>
        <v>2.407921022067363</v>
      </c>
      <c r="I35" s="265">
        <f t="shared" ca="1" si="20"/>
        <v>-1.852404181184669</v>
      </c>
      <c r="J35">
        <f t="shared" ref="J35:J66" ca="1" si="21">IF(ISBLANK(B35),OFFSET(J35,-1,0,1,1),B35)</f>
        <v>7</v>
      </c>
      <c r="K35" s="265">
        <f t="shared" ref="K35:K66" ca="1" si="22">IF(OR(OFFSET(K35,-1,-9,1,1)="",OFFSET(K35,0,-9,1,1)=""),"",IF(ISERROR(ABS(B35-OFFSET(K35,-1,-1,1,1))),"",ABS(B35-OFFSET(K35,-1,-1,1,1))))</f>
        <v>13</v>
      </c>
      <c r="L35" s="265">
        <f t="shared" ref="L35:L66" ca="1" si="23">3.267*O35</f>
        <v>15.697536585365853</v>
      </c>
      <c r="M35" s="265">
        <f t="shared" ref="M35:M66" ca="1" si="24">(2/3)*(L35-O35)+O35</f>
        <v>12.066650406504063</v>
      </c>
      <c r="N35" s="265">
        <f t="shared" ref="N35:N66" ca="1" si="25">(1/3)*(L35-O35)+O35</f>
        <v>8.4357642276422755</v>
      </c>
      <c r="O35" s="265">
        <f t="shared" ca="1" si="7"/>
        <v>4.8048780487804876</v>
      </c>
      <c r="P35" s="265">
        <f t="shared" ref="P35:P66" ca="1" si="26">(MAX(O35-(1/3)*(L35-O35),0))</f>
        <v>1.1739918699186993</v>
      </c>
      <c r="Q35" s="265">
        <f t="shared" ref="Q35:Q66" ca="1" si="27">MAX(O35-(2/3)*(L35-O35),0)</f>
        <v>0</v>
      </c>
      <c r="R35" s="265">
        <v>0</v>
      </c>
    </row>
    <row r="36" spans="1:152" x14ac:dyDescent="0.25">
      <c r="A36" s="245">
        <v>41740</v>
      </c>
      <c r="B36" s="247">
        <v>9</v>
      </c>
      <c r="C36" s="265">
        <f t="shared" ca="1" si="15"/>
        <v>23.709547038327528</v>
      </c>
      <c r="D36" s="265">
        <f t="shared" ca="1" si="16"/>
        <v>19.449221835075495</v>
      </c>
      <c r="E36" s="265">
        <f t="shared" ca="1" si="17"/>
        <v>15.188896631823461</v>
      </c>
      <c r="F36" s="265">
        <f t="shared" si="3"/>
        <v>10.928571428571429</v>
      </c>
      <c r="G36" s="265">
        <f t="shared" ca="1" si="18"/>
        <v>6.6682462253193959</v>
      </c>
      <c r="H36" s="265">
        <f t="shared" ca="1" si="19"/>
        <v>2.407921022067363</v>
      </c>
      <c r="I36" s="265">
        <f t="shared" ca="1" si="20"/>
        <v>-1.852404181184669</v>
      </c>
      <c r="J36">
        <f t="shared" ca="1" si="21"/>
        <v>9</v>
      </c>
      <c r="K36" s="265">
        <f t="shared" ca="1" si="22"/>
        <v>2</v>
      </c>
      <c r="L36" s="265">
        <f t="shared" ca="1" si="23"/>
        <v>15.697536585365853</v>
      </c>
      <c r="M36" s="265">
        <f t="shared" ca="1" si="24"/>
        <v>12.066650406504063</v>
      </c>
      <c r="N36" s="265">
        <f t="shared" ca="1" si="25"/>
        <v>8.4357642276422755</v>
      </c>
      <c r="O36" s="265">
        <f t="shared" ca="1" si="7"/>
        <v>4.8048780487804876</v>
      </c>
      <c r="P36" s="265">
        <f t="shared" ca="1" si="26"/>
        <v>1.1739918699186993</v>
      </c>
      <c r="Q36" s="265">
        <f t="shared" ca="1" si="27"/>
        <v>0</v>
      </c>
      <c r="R36" s="265">
        <v>0</v>
      </c>
    </row>
    <row r="37" spans="1:152" x14ac:dyDescent="0.25">
      <c r="A37" s="245">
        <v>41753</v>
      </c>
      <c r="B37" s="247">
        <v>8</v>
      </c>
      <c r="C37" s="265">
        <f t="shared" ca="1" si="15"/>
        <v>23.709547038327528</v>
      </c>
      <c r="D37" s="265">
        <f t="shared" ca="1" si="16"/>
        <v>19.449221835075495</v>
      </c>
      <c r="E37" s="265">
        <f t="shared" ca="1" si="17"/>
        <v>15.188896631823461</v>
      </c>
      <c r="F37" s="265">
        <f t="shared" si="3"/>
        <v>10.928571428571429</v>
      </c>
      <c r="G37" s="265">
        <f t="shared" ca="1" si="18"/>
        <v>6.6682462253193959</v>
      </c>
      <c r="H37" s="265">
        <f t="shared" ca="1" si="19"/>
        <v>2.407921022067363</v>
      </c>
      <c r="I37" s="265">
        <f t="shared" ca="1" si="20"/>
        <v>-1.852404181184669</v>
      </c>
      <c r="J37">
        <f t="shared" ca="1" si="21"/>
        <v>8</v>
      </c>
      <c r="K37" s="265">
        <f t="shared" ca="1" si="22"/>
        <v>1</v>
      </c>
      <c r="L37" s="265">
        <f t="shared" ca="1" si="23"/>
        <v>15.697536585365853</v>
      </c>
      <c r="M37" s="265">
        <f t="shared" ca="1" si="24"/>
        <v>12.066650406504063</v>
      </c>
      <c r="N37" s="265">
        <f t="shared" ca="1" si="25"/>
        <v>8.4357642276422755</v>
      </c>
      <c r="O37" s="265">
        <f t="shared" ca="1" si="7"/>
        <v>4.8048780487804876</v>
      </c>
      <c r="P37" s="265">
        <f t="shared" ca="1" si="26"/>
        <v>1.1739918699186993</v>
      </c>
      <c r="Q37" s="265">
        <f t="shared" ca="1" si="27"/>
        <v>0</v>
      </c>
      <c r="R37" s="265">
        <v>0</v>
      </c>
    </row>
    <row r="38" spans="1:152" x14ac:dyDescent="0.25">
      <c r="A38" s="245">
        <v>41754</v>
      </c>
      <c r="B38" s="247">
        <v>7</v>
      </c>
      <c r="C38" s="265">
        <f t="shared" ca="1" si="15"/>
        <v>23.709547038327528</v>
      </c>
      <c r="D38" s="265">
        <f t="shared" ca="1" si="16"/>
        <v>19.449221835075495</v>
      </c>
      <c r="E38" s="265">
        <f t="shared" ca="1" si="17"/>
        <v>15.188896631823461</v>
      </c>
      <c r="F38" s="265">
        <f t="shared" si="3"/>
        <v>10.928571428571429</v>
      </c>
      <c r="G38" s="265">
        <f t="shared" ca="1" si="18"/>
        <v>6.6682462253193959</v>
      </c>
      <c r="H38" s="265">
        <f t="shared" ca="1" si="19"/>
        <v>2.407921022067363</v>
      </c>
      <c r="I38" s="265">
        <f t="shared" ca="1" si="20"/>
        <v>-1.852404181184669</v>
      </c>
      <c r="J38">
        <f t="shared" ca="1" si="21"/>
        <v>7</v>
      </c>
      <c r="K38" s="265">
        <f t="shared" ca="1" si="22"/>
        <v>1</v>
      </c>
      <c r="L38" s="265">
        <f t="shared" ca="1" si="23"/>
        <v>15.697536585365853</v>
      </c>
      <c r="M38" s="265">
        <f t="shared" ca="1" si="24"/>
        <v>12.066650406504063</v>
      </c>
      <c r="N38" s="265">
        <f t="shared" ca="1" si="25"/>
        <v>8.4357642276422755</v>
      </c>
      <c r="O38" s="265">
        <f t="shared" ca="1" si="7"/>
        <v>4.8048780487804876</v>
      </c>
      <c r="P38" s="265">
        <f t="shared" ca="1" si="26"/>
        <v>1.1739918699186993</v>
      </c>
      <c r="Q38" s="265">
        <f t="shared" ca="1" si="27"/>
        <v>0</v>
      </c>
      <c r="R38" s="265">
        <v>0</v>
      </c>
    </row>
    <row r="39" spans="1:152" x14ac:dyDescent="0.25">
      <c r="A39" s="245">
        <v>41774</v>
      </c>
      <c r="B39" s="247">
        <v>9</v>
      </c>
      <c r="C39" s="265">
        <f t="shared" ca="1" si="15"/>
        <v>23.709547038327528</v>
      </c>
      <c r="D39" s="265">
        <f t="shared" ca="1" si="16"/>
        <v>19.449221835075495</v>
      </c>
      <c r="E39" s="265">
        <f t="shared" ca="1" si="17"/>
        <v>15.188896631823461</v>
      </c>
      <c r="F39" s="265">
        <f t="shared" si="3"/>
        <v>10.928571428571429</v>
      </c>
      <c r="G39" s="265">
        <f t="shared" ca="1" si="18"/>
        <v>6.6682462253193959</v>
      </c>
      <c r="H39" s="265">
        <f t="shared" ca="1" si="19"/>
        <v>2.407921022067363</v>
      </c>
      <c r="I39" s="265">
        <f t="shared" ca="1" si="20"/>
        <v>-1.852404181184669</v>
      </c>
      <c r="J39">
        <f t="shared" ca="1" si="21"/>
        <v>9</v>
      </c>
      <c r="K39" s="265">
        <f t="shared" ca="1" si="22"/>
        <v>2</v>
      </c>
      <c r="L39" s="265">
        <f t="shared" ca="1" si="23"/>
        <v>15.697536585365853</v>
      </c>
      <c r="M39" s="265">
        <f t="shared" ca="1" si="24"/>
        <v>12.066650406504063</v>
      </c>
      <c r="N39" s="265">
        <f t="shared" ca="1" si="25"/>
        <v>8.4357642276422755</v>
      </c>
      <c r="O39" s="265">
        <f t="shared" ca="1" si="7"/>
        <v>4.8048780487804876</v>
      </c>
      <c r="P39" s="265">
        <f t="shared" ca="1" si="26"/>
        <v>1.1739918699186993</v>
      </c>
      <c r="Q39" s="265">
        <f t="shared" ca="1" si="27"/>
        <v>0</v>
      </c>
      <c r="R39" s="265">
        <v>0</v>
      </c>
    </row>
    <row r="40" spans="1:152" x14ac:dyDescent="0.25">
      <c r="A40" s="245">
        <v>41788</v>
      </c>
      <c r="B40" s="247">
        <v>21</v>
      </c>
      <c r="C40" s="265">
        <f t="shared" ca="1" si="15"/>
        <v>23.709547038327528</v>
      </c>
      <c r="D40" s="265">
        <f t="shared" ca="1" si="16"/>
        <v>19.449221835075495</v>
      </c>
      <c r="E40" s="265">
        <f t="shared" ca="1" si="17"/>
        <v>15.188896631823461</v>
      </c>
      <c r="F40" s="265">
        <f t="shared" si="3"/>
        <v>10.928571428571429</v>
      </c>
      <c r="G40" s="265">
        <f t="shared" ca="1" si="18"/>
        <v>6.6682462253193959</v>
      </c>
      <c r="H40" s="265">
        <f t="shared" ca="1" si="19"/>
        <v>2.407921022067363</v>
      </c>
      <c r="I40" s="265">
        <f t="shared" ca="1" si="20"/>
        <v>-1.852404181184669</v>
      </c>
      <c r="J40">
        <f t="shared" ca="1" si="21"/>
        <v>21</v>
      </c>
      <c r="K40" s="265">
        <f t="shared" ca="1" si="22"/>
        <v>12</v>
      </c>
      <c r="L40" s="265">
        <f t="shared" ca="1" si="23"/>
        <v>15.697536585365853</v>
      </c>
      <c r="M40" s="265">
        <f t="shared" ca="1" si="24"/>
        <v>12.066650406504063</v>
      </c>
      <c r="N40" s="265">
        <f t="shared" ca="1" si="25"/>
        <v>8.4357642276422755</v>
      </c>
      <c r="O40" s="265">
        <f t="shared" ca="1" si="7"/>
        <v>4.8048780487804876</v>
      </c>
      <c r="P40" s="265">
        <f t="shared" ca="1" si="26"/>
        <v>1.1739918699186993</v>
      </c>
      <c r="Q40" s="265">
        <f t="shared" ca="1" si="27"/>
        <v>0</v>
      </c>
      <c r="R40" s="265">
        <v>0</v>
      </c>
    </row>
    <row r="41" spans="1:152" x14ac:dyDescent="0.25">
      <c r="A41" s="245">
        <v>41795</v>
      </c>
      <c r="B41" s="247">
        <v>6</v>
      </c>
      <c r="C41" s="265">
        <f t="shared" ca="1" si="15"/>
        <v>23.709547038327528</v>
      </c>
      <c r="D41" s="265">
        <f t="shared" ca="1" si="16"/>
        <v>19.449221835075495</v>
      </c>
      <c r="E41" s="265">
        <f t="shared" ca="1" si="17"/>
        <v>15.188896631823461</v>
      </c>
      <c r="F41" s="265">
        <f t="shared" si="3"/>
        <v>10.928571428571429</v>
      </c>
      <c r="G41" s="265">
        <f t="shared" ca="1" si="18"/>
        <v>6.6682462253193959</v>
      </c>
      <c r="H41" s="265">
        <f t="shared" ca="1" si="19"/>
        <v>2.407921022067363</v>
      </c>
      <c r="I41" s="265">
        <f t="shared" ca="1" si="20"/>
        <v>-1.852404181184669</v>
      </c>
      <c r="J41">
        <f t="shared" ca="1" si="21"/>
        <v>6</v>
      </c>
      <c r="K41" s="265">
        <f t="shared" ca="1" si="22"/>
        <v>15</v>
      </c>
      <c r="L41" s="265">
        <f t="shared" ca="1" si="23"/>
        <v>15.697536585365853</v>
      </c>
      <c r="M41" s="265">
        <f t="shared" ca="1" si="24"/>
        <v>12.066650406504063</v>
      </c>
      <c r="N41" s="265">
        <f t="shared" ca="1" si="25"/>
        <v>8.4357642276422755</v>
      </c>
      <c r="O41" s="265">
        <f t="shared" ca="1" si="7"/>
        <v>4.8048780487804876</v>
      </c>
      <c r="P41" s="265">
        <f t="shared" ca="1" si="26"/>
        <v>1.1739918699186993</v>
      </c>
      <c r="Q41" s="265">
        <f t="shared" ca="1" si="27"/>
        <v>0</v>
      </c>
      <c r="R41" s="265">
        <v>0</v>
      </c>
    </row>
    <row r="42" spans="1:152" x14ac:dyDescent="0.25">
      <c r="A42" s="245">
        <v>41802</v>
      </c>
      <c r="B42" s="247">
        <v>8</v>
      </c>
      <c r="C42" s="265">
        <f t="shared" ca="1" si="15"/>
        <v>23.709547038327528</v>
      </c>
      <c r="D42" s="265">
        <f t="shared" ca="1" si="16"/>
        <v>19.449221835075495</v>
      </c>
      <c r="E42" s="265">
        <f t="shared" ca="1" si="17"/>
        <v>15.188896631823461</v>
      </c>
      <c r="F42" s="265">
        <f t="shared" si="3"/>
        <v>10.928571428571429</v>
      </c>
      <c r="G42" s="265">
        <f t="shared" ca="1" si="18"/>
        <v>6.6682462253193959</v>
      </c>
      <c r="H42" s="265">
        <f t="shared" ca="1" si="19"/>
        <v>2.407921022067363</v>
      </c>
      <c r="I42" s="265">
        <f t="shared" ca="1" si="20"/>
        <v>-1.852404181184669</v>
      </c>
      <c r="J42">
        <f t="shared" ca="1" si="21"/>
        <v>8</v>
      </c>
      <c r="K42" s="265">
        <f t="shared" ca="1" si="22"/>
        <v>2</v>
      </c>
      <c r="L42" s="265">
        <f t="shared" ca="1" si="23"/>
        <v>15.697536585365853</v>
      </c>
      <c r="M42" s="265">
        <f t="shared" ca="1" si="24"/>
        <v>12.066650406504063</v>
      </c>
      <c r="N42" s="265">
        <f t="shared" ca="1" si="25"/>
        <v>8.4357642276422755</v>
      </c>
      <c r="O42" s="265">
        <f t="shared" ca="1" si="7"/>
        <v>4.8048780487804876</v>
      </c>
      <c r="P42" s="265">
        <f t="shared" ca="1" si="26"/>
        <v>1.1739918699186993</v>
      </c>
      <c r="Q42" s="265">
        <f t="shared" ca="1" si="27"/>
        <v>0</v>
      </c>
      <c r="R42" s="265">
        <v>0</v>
      </c>
    </row>
    <row r="43" spans="1:152" x14ac:dyDescent="0.25">
      <c r="A43" s="245">
        <v>41803</v>
      </c>
      <c r="B43" s="247">
        <v>11</v>
      </c>
      <c r="C43" s="265">
        <f t="shared" ca="1" si="15"/>
        <v>23.709547038327528</v>
      </c>
      <c r="D43" s="265">
        <f t="shared" ca="1" si="16"/>
        <v>19.449221835075495</v>
      </c>
      <c r="E43" s="265">
        <f t="shared" ca="1" si="17"/>
        <v>15.188896631823461</v>
      </c>
      <c r="F43" s="265">
        <f t="shared" si="3"/>
        <v>10.928571428571429</v>
      </c>
      <c r="G43" s="265">
        <f t="shared" ca="1" si="18"/>
        <v>6.6682462253193959</v>
      </c>
      <c r="H43" s="265">
        <f t="shared" ca="1" si="19"/>
        <v>2.407921022067363</v>
      </c>
      <c r="I43" s="265">
        <f t="shared" ca="1" si="20"/>
        <v>-1.852404181184669</v>
      </c>
      <c r="J43">
        <f t="shared" ca="1" si="21"/>
        <v>11</v>
      </c>
      <c r="K43" s="265">
        <f t="shared" ca="1" si="22"/>
        <v>3</v>
      </c>
      <c r="L43" s="265">
        <f t="shared" ca="1" si="23"/>
        <v>15.697536585365853</v>
      </c>
      <c r="M43" s="265">
        <f t="shared" ca="1" si="24"/>
        <v>12.066650406504063</v>
      </c>
      <c r="N43" s="265">
        <f t="shared" ca="1" si="25"/>
        <v>8.4357642276422755</v>
      </c>
      <c r="O43" s="265">
        <f t="shared" ca="1" si="7"/>
        <v>4.8048780487804876</v>
      </c>
      <c r="P43" s="265">
        <f t="shared" ca="1" si="26"/>
        <v>1.1739918699186993</v>
      </c>
      <c r="Q43" s="265">
        <f t="shared" ca="1" si="27"/>
        <v>0</v>
      </c>
      <c r="R43" s="265">
        <v>0</v>
      </c>
    </row>
    <row r="44" spans="1:152" x14ac:dyDescent="0.25">
      <c r="A44"/>
      <c r="B44"/>
      <c r="J44">
        <f t="shared" ca="1" si="21"/>
        <v>11</v>
      </c>
    </row>
    <row r="45" spans="1:152" x14ac:dyDescent="0.25">
      <c r="A45" s="257">
        <v>41830</v>
      </c>
      <c r="B45" s="258">
        <v>7</v>
      </c>
      <c r="C45" s="265">
        <f t="shared" ca="1" si="15"/>
        <v>14.31</v>
      </c>
      <c r="D45" s="265">
        <f t="shared" ca="1" si="16"/>
        <v>12.256666666666668</v>
      </c>
      <c r="E45" s="265">
        <f t="shared" ca="1" si="17"/>
        <v>10.203333333333333</v>
      </c>
      <c r="F45" s="265">
        <f t="shared" ref="F45:F84" si="28">AVERAGE($B$45:$B$64)</f>
        <v>8.15</v>
      </c>
      <c r="G45" s="265">
        <f t="shared" ca="1" si="18"/>
        <v>6.0966666666666667</v>
      </c>
      <c r="H45" s="265">
        <f t="shared" ca="1" si="19"/>
        <v>4.043333333333333</v>
      </c>
      <c r="I45" s="265">
        <f t="shared" ca="1" si="20"/>
        <v>1.9900000000000002</v>
      </c>
      <c r="J45">
        <f t="shared" ca="1" si="21"/>
        <v>7</v>
      </c>
      <c r="L45" s="265">
        <f t="shared" ca="1" si="23"/>
        <v>7.5656842105263156</v>
      </c>
      <c r="M45" s="265">
        <f t="shared" ca="1" si="24"/>
        <v>5.8157192982456136</v>
      </c>
      <c r="N45" s="265">
        <f t="shared" ca="1" si="25"/>
        <v>4.0657543859649117</v>
      </c>
      <c r="O45" s="265">
        <f t="shared" ref="O45:O84" ca="1" si="29">AVERAGE($K$45:$K$64)</f>
        <v>2.3157894736842106</v>
      </c>
      <c r="P45" s="265">
        <f t="shared" ca="1" si="26"/>
        <v>0.56582456140350912</v>
      </c>
      <c r="Q45" s="265">
        <f t="shared" ca="1" si="27"/>
        <v>0</v>
      </c>
      <c r="R45" s="265">
        <v>0</v>
      </c>
    </row>
    <row r="46" spans="1:152" x14ac:dyDescent="0.25">
      <c r="A46" s="257">
        <v>41858</v>
      </c>
      <c r="B46" s="258">
        <v>12</v>
      </c>
      <c r="C46" s="265">
        <f t="shared" ca="1" si="15"/>
        <v>14.31</v>
      </c>
      <c r="D46" s="265">
        <f t="shared" ca="1" si="16"/>
        <v>12.256666666666668</v>
      </c>
      <c r="E46" s="265">
        <f t="shared" ca="1" si="17"/>
        <v>10.203333333333333</v>
      </c>
      <c r="F46" s="265">
        <f t="shared" si="28"/>
        <v>8.15</v>
      </c>
      <c r="G46" s="265">
        <f t="shared" ca="1" si="18"/>
        <v>6.0966666666666667</v>
      </c>
      <c r="H46" s="265">
        <f t="shared" ca="1" si="19"/>
        <v>4.043333333333333</v>
      </c>
      <c r="I46" s="265">
        <f t="shared" ca="1" si="20"/>
        <v>1.9900000000000002</v>
      </c>
      <c r="J46">
        <f t="shared" ca="1" si="21"/>
        <v>12</v>
      </c>
      <c r="K46" s="265">
        <f t="shared" ca="1" si="22"/>
        <v>5</v>
      </c>
      <c r="L46" s="265">
        <f t="shared" ca="1" si="23"/>
        <v>7.5656842105263156</v>
      </c>
      <c r="M46" s="265">
        <f t="shared" ca="1" si="24"/>
        <v>5.8157192982456136</v>
      </c>
      <c r="N46" s="265">
        <f t="shared" ca="1" si="25"/>
        <v>4.0657543859649117</v>
      </c>
      <c r="O46" s="265">
        <f t="shared" ca="1" si="29"/>
        <v>2.3157894736842106</v>
      </c>
      <c r="P46" s="265">
        <f t="shared" ca="1" si="26"/>
        <v>0.56582456140350912</v>
      </c>
      <c r="Q46" s="265">
        <f t="shared" ca="1" si="27"/>
        <v>0</v>
      </c>
      <c r="R46" s="265">
        <v>0</v>
      </c>
    </row>
    <row r="47" spans="1:152" x14ac:dyDescent="0.25">
      <c r="A47" s="257">
        <v>41873</v>
      </c>
      <c r="B47" s="258">
        <v>7</v>
      </c>
      <c r="C47" s="265">
        <f t="shared" ca="1" si="15"/>
        <v>14.31</v>
      </c>
      <c r="D47" s="265">
        <f t="shared" ca="1" si="16"/>
        <v>12.256666666666668</v>
      </c>
      <c r="E47" s="265">
        <f t="shared" ca="1" si="17"/>
        <v>10.203333333333333</v>
      </c>
      <c r="F47" s="265">
        <f t="shared" si="28"/>
        <v>8.15</v>
      </c>
      <c r="G47" s="265">
        <f t="shared" ca="1" si="18"/>
        <v>6.0966666666666667</v>
      </c>
      <c r="H47" s="265">
        <f t="shared" ca="1" si="19"/>
        <v>4.043333333333333</v>
      </c>
      <c r="I47" s="265">
        <f t="shared" ca="1" si="20"/>
        <v>1.9900000000000002</v>
      </c>
      <c r="J47">
        <f t="shared" ca="1" si="21"/>
        <v>7</v>
      </c>
      <c r="K47" s="265">
        <f t="shared" ca="1" si="22"/>
        <v>5</v>
      </c>
      <c r="L47" s="265">
        <f t="shared" ca="1" si="23"/>
        <v>7.5656842105263156</v>
      </c>
      <c r="M47" s="265">
        <f t="shared" ca="1" si="24"/>
        <v>5.8157192982456136</v>
      </c>
      <c r="N47" s="265">
        <f t="shared" ca="1" si="25"/>
        <v>4.0657543859649117</v>
      </c>
      <c r="O47" s="265">
        <f t="shared" ca="1" si="29"/>
        <v>2.3157894736842106</v>
      </c>
      <c r="P47" s="265">
        <f t="shared" ca="1" si="26"/>
        <v>0.56582456140350912</v>
      </c>
      <c r="Q47" s="265">
        <f t="shared" ca="1" si="27"/>
        <v>0</v>
      </c>
      <c r="R47" s="265">
        <v>0</v>
      </c>
    </row>
    <row r="48" spans="1:152" x14ac:dyDescent="0.25">
      <c r="A48" s="257">
        <v>41880</v>
      </c>
      <c r="B48" s="258">
        <v>8</v>
      </c>
      <c r="C48" s="265">
        <f t="shared" ca="1" si="15"/>
        <v>14.31</v>
      </c>
      <c r="D48" s="265">
        <f t="shared" ca="1" si="16"/>
        <v>12.256666666666668</v>
      </c>
      <c r="E48" s="265">
        <f t="shared" ca="1" si="17"/>
        <v>10.203333333333333</v>
      </c>
      <c r="F48" s="265">
        <f t="shared" si="28"/>
        <v>8.15</v>
      </c>
      <c r="G48" s="265">
        <f t="shared" ca="1" si="18"/>
        <v>6.0966666666666667</v>
      </c>
      <c r="H48" s="265">
        <f t="shared" ca="1" si="19"/>
        <v>4.043333333333333</v>
      </c>
      <c r="I48" s="265">
        <f t="shared" ca="1" si="20"/>
        <v>1.9900000000000002</v>
      </c>
      <c r="J48">
        <f t="shared" ca="1" si="21"/>
        <v>8</v>
      </c>
      <c r="K48" s="265">
        <f t="shared" ca="1" si="22"/>
        <v>1</v>
      </c>
      <c r="L48" s="265">
        <f t="shared" ca="1" si="23"/>
        <v>7.5656842105263156</v>
      </c>
      <c r="M48" s="265">
        <f t="shared" ca="1" si="24"/>
        <v>5.8157192982456136</v>
      </c>
      <c r="N48" s="265">
        <f t="shared" ca="1" si="25"/>
        <v>4.0657543859649117</v>
      </c>
      <c r="O48" s="265">
        <f t="shared" ca="1" si="29"/>
        <v>2.3157894736842106</v>
      </c>
      <c r="P48" s="265">
        <f t="shared" ca="1" si="26"/>
        <v>0.56582456140350912</v>
      </c>
      <c r="Q48" s="265">
        <f t="shared" ca="1" si="27"/>
        <v>0</v>
      </c>
      <c r="R48" s="265">
        <v>0</v>
      </c>
    </row>
    <row r="49" spans="1:152" x14ac:dyDescent="0.25">
      <c r="A49" s="257">
        <v>41886</v>
      </c>
      <c r="B49" s="258">
        <v>7</v>
      </c>
      <c r="C49" s="265">
        <f t="shared" ca="1" si="15"/>
        <v>14.31</v>
      </c>
      <c r="D49" s="265">
        <f t="shared" ca="1" si="16"/>
        <v>12.256666666666668</v>
      </c>
      <c r="E49" s="265">
        <f t="shared" ca="1" si="17"/>
        <v>10.203333333333333</v>
      </c>
      <c r="F49" s="265">
        <f t="shared" si="28"/>
        <v>8.15</v>
      </c>
      <c r="G49" s="265">
        <f t="shared" ca="1" si="18"/>
        <v>6.0966666666666667</v>
      </c>
      <c r="H49" s="265">
        <f t="shared" ca="1" si="19"/>
        <v>4.043333333333333</v>
      </c>
      <c r="I49" s="265">
        <f t="shared" ca="1" si="20"/>
        <v>1.9900000000000002</v>
      </c>
      <c r="J49">
        <f t="shared" ca="1" si="21"/>
        <v>7</v>
      </c>
      <c r="K49" s="265">
        <f t="shared" ca="1" si="22"/>
        <v>1</v>
      </c>
      <c r="L49" s="265">
        <f t="shared" ca="1" si="23"/>
        <v>7.5656842105263156</v>
      </c>
      <c r="M49" s="265">
        <f t="shared" ca="1" si="24"/>
        <v>5.8157192982456136</v>
      </c>
      <c r="N49" s="265">
        <f t="shared" ca="1" si="25"/>
        <v>4.0657543859649117</v>
      </c>
      <c r="O49" s="265">
        <f t="shared" ca="1" si="29"/>
        <v>2.3157894736842106</v>
      </c>
      <c r="P49" s="265">
        <f t="shared" ca="1" si="26"/>
        <v>0.56582456140350912</v>
      </c>
      <c r="Q49" s="265">
        <f t="shared" ca="1" si="27"/>
        <v>0</v>
      </c>
      <c r="R49" s="265">
        <v>0</v>
      </c>
    </row>
    <row r="50" spans="1:152" x14ac:dyDescent="0.25">
      <c r="A50" s="257">
        <v>41887</v>
      </c>
      <c r="B50" s="258">
        <v>7</v>
      </c>
      <c r="C50" s="265">
        <f t="shared" ca="1" si="15"/>
        <v>14.31</v>
      </c>
      <c r="D50" s="265">
        <f t="shared" ca="1" si="16"/>
        <v>12.256666666666668</v>
      </c>
      <c r="E50" s="265">
        <f t="shared" ca="1" si="17"/>
        <v>10.203333333333333</v>
      </c>
      <c r="F50" s="265">
        <f t="shared" si="28"/>
        <v>8.15</v>
      </c>
      <c r="G50" s="265">
        <f t="shared" ca="1" si="18"/>
        <v>6.0966666666666667</v>
      </c>
      <c r="H50" s="265">
        <f t="shared" ca="1" si="19"/>
        <v>4.043333333333333</v>
      </c>
      <c r="I50" s="265">
        <f t="shared" ca="1" si="20"/>
        <v>1.9900000000000002</v>
      </c>
      <c r="J50">
        <f t="shared" ca="1" si="21"/>
        <v>7</v>
      </c>
      <c r="K50" s="265">
        <f t="shared" ca="1" si="22"/>
        <v>0</v>
      </c>
      <c r="L50" s="265">
        <f t="shared" ca="1" si="23"/>
        <v>7.5656842105263156</v>
      </c>
      <c r="M50" s="265">
        <f t="shared" ca="1" si="24"/>
        <v>5.8157192982456136</v>
      </c>
      <c r="N50" s="265">
        <f t="shared" ca="1" si="25"/>
        <v>4.0657543859649117</v>
      </c>
      <c r="O50" s="265">
        <f t="shared" ca="1" si="29"/>
        <v>2.3157894736842106</v>
      </c>
      <c r="P50" s="265">
        <f t="shared" ca="1" si="26"/>
        <v>0.56582456140350912</v>
      </c>
      <c r="Q50" s="265">
        <f t="shared" ca="1" si="27"/>
        <v>0</v>
      </c>
      <c r="R50" s="265">
        <v>0</v>
      </c>
    </row>
    <row r="51" spans="1:152" x14ac:dyDescent="0.25">
      <c r="A51" s="257">
        <v>41893</v>
      </c>
      <c r="B51" s="258">
        <v>8</v>
      </c>
      <c r="C51" s="265">
        <f t="shared" ca="1" si="15"/>
        <v>14.31</v>
      </c>
      <c r="D51" s="265">
        <f t="shared" ca="1" si="16"/>
        <v>12.256666666666668</v>
      </c>
      <c r="E51" s="265">
        <f t="shared" ca="1" si="17"/>
        <v>10.203333333333333</v>
      </c>
      <c r="F51" s="265">
        <f t="shared" si="28"/>
        <v>8.15</v>
      </c>
      <c r="G51" s="265">
        <f t="shared" ca="1" si="18"/>
        <v>6.0966666666666667</v>
      </c>
      <c r="H51" s="265">
        <f t="shared" ca="1" si="19"/>
        <v>4.043333333333333</v>
      </c>
      <c r="I51" s="265">
        <f t="shared" ca="1" si="20"/>
        <v>1.9900000000000002</v>
      </c>
      <c r="J51">
        <f t="shared" ca="1" si="21"/>
        <v>8</v>
      </c>
      <c r="K51" s="265">
        <f t="shared" ca="1" si="22"/>
        <v>1</v>
      </c>
      <c r="L51" s="265">
        <f t="shared" ca="1" si="23"/>
        <v>7.5656842105263156</v>
      </c>
      <c r="M51" s="265">
        <f t="shared" ca="1" si="24"/>
        <v>5.8157192982456136</v>
      </c>
      <c r="N51" s="265">
        <f t="shared" ca="1" si="25"/>
        <v>4.0657543859649117</v>
      </c>
      <c r="O51" s="265">
        <f t="shared" ca="1" si="29"/>
        <v>2.3157894736842106</v>
      </c>
      <c r="P51" s="265">
        <f t="shared" ca="1" si="26"/>
        <v>0.56582456140350912</v>
      </c>
      <c r="Q51" s="265">
        <f t="shared" ca="1" si="27"/>
        <v>0</v>
      </c>
      <c r="R51" s="265">
        <v>0</v>
      </c>
    </row>
    <row r="52" spans="1:152" x14ac:dyDescent="0.25">
      <c r="A52" s="257">
        <v>41914</v>
      </c>
      <c r="B52" s="258">
        <v>7</v>
      </c>
      <c r="C52" s="265">
        <f t="shared" ca="1" si="15"/>
        <v>14.31</v>
      </c>
      <c r="D52" s="265">
        <f t="shared" ca="1" si="16"/>
        <v>12.256666666666668</v>
      </c>
      <c r="E52" s="265">
        <f t="shared" ca="1" si="17"/>
        <v>10.203333333333333</v>
      </c>
      <c r="F52" s="265">
        <f t="shared" si="28"/>
        <v>8.15</v>
      </c>
      <c r="G52" s="265">
        <f t="shared" ca="1" si="18"/>
        <v>6.0966666666666667</v>
      </c>
      <c r="H52" s="265">
        <f t="shared" ca="1" si="19"/>
        <v>4.043333333333333</v>
      </c>
      <c r="I52" s="265">
        <f t="shared" ca="1" si="20"/>
        <v>1.9900000000000002</v>
      </c>
      <c r="J52">
        <f t="shared" ca="1" si="21"/>
        <v>7</v>
      </c>
      <c r="K52" s="265">
        <f t="shared" ca="1" si="22"/>
        <v>1</v>
      </c>
      <c r="L52" s="265">
        <f t="shared" ca="1" si="23"/>
        <v>7.5656842105263156</v>
      </c>
      <c r="M52" s="265">
        <f t="shared" ca="1" si="24"/>
        <v>5.8157192982456136</v>
      </c>
      <c r="N52" s="265">
        <f t="shared" ca="1" si="25"/>
        <v>4.0657543859649117</v>
      </c>
      <c r="O52" s="265">
        <f t="shared" ca="1" si="29"/>
        <v>2.3157894736842106</v>
      </c>
      <c r="P52" s="265">
        <f t="shared" ca="1" si="26"/>
        <v>0.56582456140350912</v>
      </c>
      <c r="Q52" s="265">
        <f t="shared" ca="1" si="27"/>
        <v>0</v>
      </c>
      <c r="R52" s="265">
        <v>0</v>
      </c>
    </row>
    <row r="53" spans="1:152" x14ac:dyDescent="0.25">
      <c r="A53" s="257">
        <v>41921</v>
      </c>
      <c r="B53" s="258">
        <v>11</v>
      </c>
      <c r="C53" s="265">
        <f t="shared" ca="1" si="15"/>
        <v>14.31</v>
      </c>
      <c r="D53" s="265">
        <f t="shared" ca="1" si="16"/>
        <v>12.256666666666668</v>
      </c>
      <c r="E53" s="265">
        <f t="shared" ca="1" si="17"/>
        <v>10.203333333333333</v>
      </c>
      <c r="F53" s="265">
        <f t="shared" si="28"/>
        <v>8.15</v>
      </c>
      <c r="G53" s="265">
        <f t="shared" ca="1" si="18"/>
        <v>6.0966666666666667</v>
      </c>
      <c r="H53" s="265">
        <f t="shared" ca="1" si="19"/>
        <v>4.043333333333333</v>
      </c>
      <c r="I53" s="265">
        <f t="shared" ca="1" si="20"/>
        <v>1.9900000000000002</v>
      </c>
      <c r="J53">
        <f t="shared" ca="1" si="21"/>
        <v>11</v>
      </c>
      <c r="K53" s="265">
        <f t="shared" ca="1" si="22"/>
        <v>4</v>
      </c>
      <c r="L53" s="265">
        <f t="shared" ca="1" si="23"/>
        <v>7.5656842105263156</v>
      </c>
      <c r="M53" s="265">
        <f t="shared" ca="1" si="24"/>
        <v>5.8157192982456136</v>
      </c>
      <c r="N53" s="265">
        <f t="shared" ca="1" si="25"/>
        <v>4.0657543859649117</v>
      </c>
      <c r="O53" s="265">
        <f t="shared" ca="1" si="29"/>
        <v>2.3157894736842106</v>
      </c>
      <c r="P53" s="265">
        <f t="shared" ca="1" si="26"/>
        <v>0.56582456140350912</v>
      </c>
      <c r="Q53" s="265">
        <f t="shared" ca="1" si="27"/>
        <v>0</v>
      </c>
      <c r="R53" s="265">
        <v>0</v>
      </c>
    </row>
    <row r="54" spans="1:152" x14ac:dyDescent="0.25">
      <c r="A54" s="257">
        <v>41922</v>
      </c>
      <c r="B54" s="258">
        <v>9</v>
      </c>
      <c r="C54" s="265">
        <f t="shared" ca="1" si="15"/>
        <v>14.31</v>
      </c>
      <c r="D54" s="265">
        <f t="shared" ca="1" si="16"/>
        <v>12.256666666666668</v>
      </c>
      <c r="E54" s="265">
        <f t="shared" ca="1" si="17"/>
        <v>10.203333333333333</v>
      </c>
      <c r="F54" s="265">
        <f t="shared" si="28"/>
        <v>8.15</v>
      </c>
      <c r="G54" s="265">
        <f t="shared" ca="1" si="18"/>
        <v>6.0966666666666667</v>
      </c>
      <c r="H54" s="265">
        <f t="shared" ca="1" si="19"/>
        <v>4.043333333333333</v>
      </c>
      <c r="I54" s="265">
        <f t="shared" ca="1" si="20"/>
        <v>1.9900000000000002</v>
      </c>
      <c r="J54">
        <f t="shared" ca="1" si="21"/>
        <v>9</v>
      </c>
      <c r="K54" s="265">
        <f t="shared" ca="1" si="22"/>
        <v>2</v>
      </c>
      <c r="L54" s="265">
        <f t="shared" ca="1" si="23"/>
        <v>7.5656842105263156</v>
      </c>
      <c r="M54" s="265">
        <f t="shared" ca="1" si="24"/>
        <v>5.8157192982456136</v>
      </c>
      <c r="N54" s="265">
        <f t="shared" ca="1" si="25"/>
        <v>4.0657543859649117</v>
      </c>
      <c r="O54" s="265">
        <f t="shared" ca="1" si="29"/>
        <v>2.3157894736842106</v>
      </c>
      <c r="P54" s="265">
        <f t="shared" ca="1" si="26"/>
        <v>0.56582456140350912</v>
      </c>
      <c r="Q54" s="265">
        <f t="shared" ca="1" si="27"/>
        <v>0</v>
      </c>
      <c r="R54" s="265">
        <v>0</v>
      </c>
    </row>
    <row r="55" spans="1:152" x14ac:dyDescent="0.25">
      <c r="A55" s="257">
        <v>41928</v>
      </c>
      <c r="B55" s="258">
        <v>17</v>
      </c>
      <c r="C55" s="265">
        <f t="shared" ca="1" si="15"/>
        <v>14.31</v>
      </c>
      <c r="D55" s="265">
        <f t="shared" ca="1" si="16"/>
        <v>12.256666666666668</v>
      </c>
      <c r="E55" s="265">
        <f t="shared" ca="1" si="17"/>
        <v>10.203333333333333</v>
      </c>
      <c r="F55" s="265">
        <f t="shared" si="28"/>
        <v>8.15</v>
      </c>
      <c r="G55" s="265">
        <f t="shared" ca="1" si="18"/>
        <v>6.0966666666666667</v>
      </c>
      <c r="H55" s="265">
        <f t="shared" ca="1" si="19"/>
        <v>4.043333333333333</v>
      </c>
      <c r="I55" s="265">
        <f t="shared" ca="1" si="20"/>
        <v>1.9900000000000002</v>
      </c>
      <c r="J55">
        <f t="shared" ca="1" si="21"/>
        <v>17</v>
      </c>
      <c r="K55" s="265">
        <f t="shared" ca="1" si="22"/>
        <v>8</v>
      </c>
      <c r="L55" s="265">
        <f t="shared" ca="1" si="23"/>
        <v>7.5656842105263156</v>
      </c>
      <c r="M55" s="265">
        <f t="shared" ca="1" si="24"/>
        <v>5.8157192982456136</v>
      </c>
      <c r="N55" s="265">
        <f t="shared" ca="1" si="25"/>
        <v>4.0657543859649117</v>
      </c>
      <c r="O55" s="265">
        <f t="shared" ca="1" si="29"/>
        <v>2.3157894736842106</v>
      </c>
      <c r="P55" s="265">
        <f t="shared" ca="1" si="26"/>
        <v>0.56582456140350912</v>
      </c>
      <c r="Q55" s="265">
        <f t="shared" ca="1" si="27"/>
        <v>0</v>
      </c>
      <c r="R55" s="265">
        <v>0</v>
      </c>
    </row>
    <row r="56" spans="1:152" x14ac:dyDescent="0.25">
      <c r="A56" s="257">
        <v>41962</v>
      </c>
      <c r="B56" s="258">
        <v>7</v>
      </c>
      <c r="C56" s="265">
        <f t="shared" ca="1" si="15"/>
        <v>14.31</v>
      </c>
      <c r="D56" s="265">
        <f t="shared" ca="1" si="16"/>
        <v>12.256666666666668</v>
      </c>
      <c r="E56" s="265">
        <f t="shared" ca="1" si="17"/>
        <v>10.203333333333333</v>
      </c>
      <c r="F56" s="265">
        <f t="shared" si="28"/>
        <v>8.15</v>
      </c>
      <c r="G56" s="265">
        <f t="shared" ca="1" si="18"/>
        <v>6.0966666666666667</v>
      </c>
      <c r="H56" s="265">
        <f t="shared" ca="1" si="19"/>
        <v>4.043333333333333</v>
      </c>
      <c r="I56" s="265">
        <f t="shared" ca="1" si="20"/>
        <v>1.9900000000000002</v>
      </c>
      <c r="J56">
        <f t="shared" ca="1" si="21"/>
        <v>7</v>
      </c>
      <c r="K56" s="265">
        <f t="shared" ca="1" si="22"/>
        <v>10</v>
      </c>
      <c r="L56" s="265">
        <f t="shared" ca="1" si="23"/>
        <v>7.5656842105263156</v>
      </c>
      <c r="M56" s="265">
        <f t="shared" ca="1" si="24"/>
        <v>5.8157192982456136</v>
      </c>
      <c r="N56" s="265">
        <f t="shared" ca="1" si="25"/>
        <v>4.0657543859649117</v>
      </c>
      <c r="O56" s="265">
        <f t="shared" ca="1" si="29"/>
        <v>2.3157894736842106</v>
      </c>
      <c r="P56" s="265">
        <f t="shared" ca="1" si="26"/>
        <v>0.56582456140350912</v>
      </c>
      <c r="Q56" s="265">
        <f t="shared" ca="1" si="27"/>
        <v>0</v>
      </c>
      <c r="R56" s="265">
        <v>0</v>
      </c>
    </row>
    <row r="57" spans="1:152" x14ac:dyDescent="0.25">
      <c r="A57" s="257">
        <v>41977</v>
      </c>
      <c r="B57" s="258">
        <v>6</v>
      </c>
      <c r="C57" s="265">
        <f t="shared" ca="1" si="15"/>
        <v>14.31</v>
      </c>
      <c r="D57" s="265">
        <f t="shared" ca="1" si="16"/>
        <v>12.256666666666668</v>
      </c>
      <c r="E57" s="265">
        <f t="shared" ca="1" si="17"/>
        <v>10.203333333333333</v>
      </c>
      <c r="F57" s="265">
        <f t="shared" si="28"/>
        <v>8.15</v>
      </c>
      <c r="G57" s="265">
        <f t="shared" ca="1" si="18"/>
        <v>6.0966666666666667</v>
      </c>
      <c r="H57" s="265">
        <f t="shared" ca="1" si="19"/>
        <v>4.043333333333333</v>
      </c>
      <c r="I57" s="265">
        <f t="shared" ca="1" si="20"/>
        <v>1.9900000000000002</v>
      </c>
      <c r="J57">
        <f t="shared" ca="1" si="21"/>
        <v>6</v>
      </c>
      <c r="K57" s="265">
        <f t="shared" ca="1" si="22"/>
        <v>1</v>
      </c>
      <c r="L57" s="265">
        <f t="shared" ca="1" si="23"/>
        <v>7.5656842105263156</v>
      </c>
      <c r="M57" s="265">
        <f t="shared" ca="1" si="24"/>
        <v>5.8157192982456136</v>
      </c>
      <c r="N57" s="265">
        <f t="shared" ca="1" si="25"/>
        <v>4.0657543859649117</v>
      </c>
      <c r="O57" s="265">
        <f t="shared" ca="1" si="29"/>
        <v>2.3157894736842106</v>
      </c>
      <c r="P57" s="265">
        <f t="shared" ca="1" si="26"/>
        <v>0.56582456140350912</v>
      </c>
      <c r="Q57" s="265">
        <f t="shared" ca="1" si="27"/>
        <v>0</v>
      </c>
      <c r="R57" s="265">
        <v>0</v>
      </c>
    </row>
    <row r="58" spans="1:152" x14ac:dyDescent="0.25">
      <c r="A58" s="257">
        <v>42006</v>
      </c>
      <c r="B58" s="258">
        <v>6</v>
      </c>
      <c r="C58" s="265">
        <f t="shared" ca="1" si="15"/>
        <v>14.31</v>
      </c>
      <c r="D58" s="265">
        <f t="shared" ca="1" si="16"/>
        <v>12.256666666666668</v>
      </c>
      <c r="E58" s="265">
        <f t="shared" ca="1" si="17"/>
        <v>10.203333333333333</v>
      </c>
      <c r="F58" s="265">
        <f t="shared" si="28"/>
        <v>8.15</v>
      </c>
      <c r="G58" s="265">
        <f t="shared" ca="1" si="18"/>
        <v>6.0966666666666667</v>
      </c>
      <c r="H58" s="265">
        <f t="shared" ca="1" si="19"/>
        <v>4.043333333333333</v>
      </c>
      <c r="I58" s="265">
        <f t="shared" ca="1" si="20"/>
        <v>1.9900000000000002</v>
      </c>
      <c r="J58">
        <f t="shared" ca="1" si="21"/>
        <v>6</v>
      </c>
      <c r="K58" s="265">
        <f t="shared" ca="1" si="22"/>
        <v>0</v>
      </c>
      <c r="L58" s="265">
        <f t="shared" ca="1" si="23"/>
        <v>7.5656842105263156</v>
      </c>
      <c r="M58" s="265">
        <f t="shared" ca="1" si="24"/>
        <v>5.8157192982456136</v>
      </c>
      <c r="N58" s="265">
        <f t="shared" ca="1" si="25"/>
        <v>4.0657543859649117</v>
      </c>
      <c r="O58" s="265">
        <f t="shared" ca="1" si="29"/>
        <v>2.3157894736842106</v>
      </c>
      <c r="P58" s="265">
        <f t="shared" ca="1" si="26"/>
        <v>0.56582456140350912</v>
      </c>
      <c r="Q58" s="265">
        <f t="shared" ca="1" si="27"/>
        <v>0</v>
      </c>
      <c r="R58" s="265">
        <v>0</v>
      </c>
    </row>
    <row r="59" spans="1:152" x14ac:dyDescent="0.25">
      <c r="A59" s="251">
        <v>42027</v>
      </c>
      <c r="B59" s="249">
        <v>9</v>
      </c>
      <c r="C59" s="265">
        <f t="shared" ca="1" si="15"/>
        <v>14.31</v>
      </c>
      <c r="D59" s="265">
        <f t="shared" ca="1" si="16"/>
        <v>12.256666666666668</v>
      </c>
      <c r="E59" s="265">
        <f t="shared" ca="1" si="17"/>
        <v>10.203333333333333</v>
      </c>
      <c r="F59" s="265">
        <f t="shared" si="28"/>
        <v>8.15</v>
      </c>
      <c r="G59" s="265">
        <f t="shared" ca="1" si="18"/>
        <v>6.0966666666666667</v>
      </c>
      <c r="H59" s="265">
        <f t="shared" ca="1" si="19"/>
        <v>4.043333333333333</v>
      </c>
      <c r="I59" s="265">
        <f t="shared" ca="1" si="20"/>
        <v>1.9900000000000002</v>
      </c>
      <c r="J59">
        <f t="shared" ca="1" si="21"/>
        <v>9</v>
      </c>
      <c r="K59" s="265">
        <f t="shared" ca="1" si="22"/>
        <v>3</v>
      </c>
      <c r="L59" s="265">
        <f t="shared" ca="1" si="23"/>
        <v>7.5656842105263156</v>
      </c>
      <c r="M59" s="265">
        <f t="shared" ca="1" si="24"/>
        <v>5.8157192982456136</v>
      </c>
      <c r="N59" s="265">
        <f t="shared" ca="1" si="25"/>
        <v>4.0657543859649117</v>
      </c>
      <c r="O59" s="265">
        <f t="shared" ca="1" si="29"/>
        <v>2.3157894736842106</v>
      </c>
      <c r="P59" s="265">
        <f t="shared" ca="1" si="26"/>
        <v>0.56582456140350912</v>
      </c>
      <c r="Q59" s="265">
        <f t="shared" ca="1" si="27"/>
        <v>0</v>
      </c>
      <c r="R59" s="265">
        <v>0</v>
      </c>
    </row>
    <row r="60" spans="1:152" x14ac:dyDescent="0.25">
      <c r="A60" s="251">
        <v>42033</v>
      </c>
      <c r="B60" s="249">
        <v>7</v>
      </c>
      <c r="C60" s="265">
        <f t="shared" ca="1" si="15"/>
        <v>14.31</v>
      </c>
      <c r="D60" s="265">
        <f t="shared" ca="1" si="16"/>
        <v>12.256666666666668</v>
      </c>
      <c r="E60" s="265">
        <f t="shared" ca="1" si="17"/>
        <v>10.203333333333333</v>
      </c>
      <c r="F60" s="265">
        <f t="shared" si="28"/>
        <v>8.15</v>
      </c>
      <c r="G60" s="265">
        <f t="shared" ca="1" si="18"/>
        <v>6.0966666666666667</v>
      </c>
      <c r="H60" s="265">
        <f t="shared" ca="1" si="19"/>
        <v>4.043333333333333</v>
      </c>
      <c r="I60" s="265">
        <f t="shared" ca="1" si="20"/>
        <v>1.9900000000000002</v>
      </c>
      <c r="J60">
        <f t="shared" ca="1" si="21"/>
        <v>7</v>
      </c>
      <c r="K60" s="265">
        <f t="shared" ca="1" si="22"/>
        <v>2</v>
      </c>
      <c r="L60" s="265">
        <f t="shared" ca="1" si="23"/>
        <v>7.5656842105263156</v>
      </c>
      <c r="M60" s="265">
        <f t="shared" ca="1" si="24"/>
        <v>5.8157192982456136</v>
      </c>
      <c r="N60" s="265">
        <f t="shared" ca="1" si="25"/>
        <v>4.0657543859649117</v>
      </c>
      <c r="O60" s="265">
        <f t="shared" ca="1" si="29"/>
        <v>2.3157894736842106</v>
      </c>
      <c r="P60" s="265">
        <f t="shared" ca="1" si="26"/>
        <v>0.56582456140350912</v>
      </c>
      <c r="Q60" s="265">
        <f t="shared" ca="1" si="27"/>
        <v>0</v>
      </c>
      <c r="R60" s="265">
        <v>0</v>
      </c>
    </row>
    <row r="61" spans="1:152" x14ac:dyDescent="0.25">
      <c r="A61" s="251">
        <v>42034</v>
      </c>
      <c r="B61" s="249">
        <v>7</v>
      </c>
      <c r="C61" s="265">
        <f t="shared" ca="1" si="15"/>
        <v>14.31</v>
      </c>
      <c r="D61" s="265">
        <f t="shared" ca="1" si="16"/>
        <v>12.256666666666668</v>
      </c>
      <c r="E61" s="265">
        <f t="shared" ca="1" si="17"/>
        <v>10.203333333333333</v>
      </c>
      <c r="F61" s="265">
        <f t="shared" si="28"/>
        <v>8.15</v>
      </c>
      <c r="G61" s="265">
        <f t="shared" ca="1" si="18"/>
        <v>6.0966666666666667</v>
      </c>
      <c r="H61" s="265">
        <f t="shared" ca="1" si="19"/>
        <v>4.043333333333333</v>
      </c>
      <c r="I61" s="265">
        <f t="shared" ca="1" si="20"/>
        <v>1.9900000000000002</v>
      </c>
      <c r="J61">
        <f t="shared" ca="1" si="21"/>
        <v>7</v>
      </c>
      <c r="K61" s="265">
        <f t="shared" ca="1" si="22"/>
        <v>0</v>
      </c>
      <c r="L61" s="265">
        <f t="shared" ca="1" si="23"/>
        <v>7.5656842105263156</v>
      </c>
      <c r="M61" s="265">
        <f t="shared" ca="1" si="24"/>
        <v>5.8157192982456136</v>
      </c>
      <c r="N61" s="265">
        <f t="shared" ca="1" si="25"/>
        <v>4.0657543859649117</v>
      </c>
      <c r="O61" s="265">
        <f t="shared" ca="1" si="29"/>
        <v>2.3157894736842106</v>
      </c>
      <c r="P61" s="265">
        <f t="shared" ca="1" si="26"/>
        <v>0.56582456140350912</v>
      </c>
      <c r="Q61" s="265">
        <f t="shared" ca="1" si="27"/>
        <v>0</v>
      </c>
      <c r="R61" s="265">
        <v>0</v>
      </c>
    </row>
    <row r="62" spans="1:152" x14ac:dyDescent="0.25">
      <c r="A62" s="251">
        <v>42040</v>
      </c>
      <c r="B62" s="249">
        <v>7</v>
      </c>
      <c r="C62" s="265">
        <f t="shared" ca="1" si="15"/>
        <v>14.31</v>
      </c>
      <c r="D62" s="265">
        <f t="shared" ca="1" si="16"/>
        <v>12.256666666666668</v>
      </c>
      <c r="E62" s="265">
        <f t="shared" ca="1" si="17"/>
        <v>10.203333333333333</v>
      </c>
      <c r="F62" s="265">
        <f t="shared" si="28"/>
        <v>8.15</v>
      </c>
      <c r="G62" s="265">
        <f t="shared" ca="1" si="18"/>
        <v>6.0966666666666667</v>
      </c>
      <c r="H62" s="265">
        <f t="shared" ca="1" si="19"/>
        <v>4.043333333333333</v>
      </c>
      <c r="I62" s="265">
        <f t="shared" ca="1" si="20"/>
        <v>1.9900000000000002</v>
      </c>
      <c r="J62">
        <f t="shared" ca="1" si="21"/>
        <v>7</v>
      </c>
      <c r="K62" s="265">
        <f t="shared" ca="1" si="22"/>
        <v>0</v>
      </c>
      <c r="L62" s="265">
        <f t="shared" ca="1" si="23"/>
        <v>7.5656842105263156</v>
      </c>
      <c r="M62" s="265">
        <f t="shared" ca="1" si="24"/>
        <v>5.8157192982456136</v>
      </c>
      <c r="N62" s="265">
        <f t="shared" ca="1" si="25"/>
        <v>4.0657543859649117</v>
      </c>
      <c r="O62" s="265">
        <f t="shared" ca="1" si="29"/>
        <v>2.3157894736842106</v>
      </c>
      <c r="P62" s="265">
        <f t="shared" ca="1" si="26"/>
        <v>0.56582456140350912</v>
      </c>
      <c r="Q62" s="265">
        <f t="shared" ca="1" si="27"/>
        <v>0</v>
      </c>
      <c r="R62" s="265">
        <v>0</v>
      </c>
    </row>
    <row r="63" spans="1:152" x14ac:dyDescent="0.25">
      <c r="A63" s="251">
        <v>42075</v>
      </c>
      <c r="B63" s="249">
        <v>7</v>
      </c>
      <c r="C63" s="265">
        <f t="shared" ca="1" si="15"/>
        <v>14.31</v>
      </c>
      <c r="D63" s="265">
        <f t="shared" ca="1" si="16"/>
        <v>12.256666666666668</v>
      </c>
      <c r="E63" s="265">
        <f t="shared" ca="1" si="17"/>
        <v>10.203333333333333</v>
      </c>
      <c r="F63" s="265">
        <f t="shared" si="28"/>
        <v>8.15</v>
      </c>
      <c r="G63" s="265">
        <f t="shared" ca="1" si="18"/>
        <v>6.0966666666666667</v>
      </c>
      <c r="H63" s="265">
        <f t="shared" ca="1" si="19"/>
        <v>4.043333333333333</v>
      </c>
      <c r="I63" s="265">
        <f t="shared" ca="1" si="20"/>
        <v>1.9900000000000002</v>
      </c>
      <c r="J63">
        <f t="shared" ca="1" si="21"/>
        <v>7</v>
      </c>
      <c r="K63" s="265">
        <f t="shared" ca="1" si="22"/>
        <v>0</v>
      </c>
      <c r="L63" s="265">
        <f t="shared" ca="1" si="23"/>
        <v>7.5656842105263156</v>
      </c>
      <c r="M63" s="265">
        <f t="shared" ca="1" si="24"/>
        <v>5.8157192982456136</v>
      </c>
      <c r="N63" s="265">
        <f t="shared" ca="1" si="25"/>
        <v>4.0657543859649117</v>
      </c>
      <c r="O63" s="265">
        <f t="shared" ca="1" si="29"/>
        <v>2.3157894736842106</v>
      </c>
      <c r="P63" s="265">
        <f t="shared" ca="1" si="26"/>
        <v>0.56582456140350912</v>
      </c>
      <c r="Q63" s="265">
        <f t="shared" ca="1" si="27"/>
        <v>0</v>
      </c>
      <c r="R63" s="265">
        <v>0</v>
      </c>
    </row>
    <row r="64" spans="1:152" x14ac:dyDescent="0.25">
      <c r="A64" s="239">
        <v>42111</v>
      </c>
      <c r="B64" s="266">
        <v>7</v>
      </c>
      <c r="C64" s="265">
        <f t="shared" ca="1" si="15"/>
        <v>14.31</v>
      </c>
      <c r="D64" s="265">
        <f t="shared" ca="1" si="16"/>
        <v>12.256666666666668</v>
      </c>
      <c r="E64" s="265">
        <f t="shared" ca="1" si="17"/>
        <v>10.203333333333333</v>
      </c>
      <c r="F64" s="265">
        <f t="shared" si="28"/>
        <v>8.15</v>
      </c>
      <c r="G64" s="265">
        <f t="shared" ca="1" si="18"/>
        <v>6.0966666666666667</v>
      </c>
      <c r="H64" s="265">
        <f t="shared" ca="1" si="19"/>
        <v>4.043333333333333</v>
      </c>
      <c r="I64" s="265">
        <f t="shared" ca="1" si="20"/>
        <v>1.9900000000000002</v>
      </c>
      <c r="J64">
        <f t="shared" ca="1" si="21"/>
        <v>7</v>
      </c>
      <c r="K64" s="265">
        <f t="shared" ca="1" si="22"/>
        <v>0</v>
      </c>
      <c r="L64" s="265">
        <f t="shared" ca="1" si="23"/>
        <v>7.5656842105263156</v>
      </c>
      <c r="M64" s="265">
        <f t="shared" ca="1" si="24"/>
        <v>5.8157192982456136</v>
      </c>
      <c r="N64" s="265">
        <f t="shared" ca="1" si="25"/>
        <v>4.0657543859649117</v>
      </c>
      <c r="O64" s="265">
        <f t="shared" ca="1" si="29"/>
        <v>2.3157894736842106</v>
      </c>
      <c r="P64" s="265">
        <f t="shared" ca="1" si="26"/>
        <v>0.56582456140350912</v>
      </c>
      <c r="Q64" s="265">
        <f t="shared" ca="1" si="27"/>
        <v>0</v>
      </c>
      <c r="R64" s="265">
        <v>0</v>
      </c>
    </row>
    <row r="65" spans="1:152" x14ac:dyDescent="0.25">
      <c r="B65" s="267"/>
      <c r="C65" s="265">
        <f t="shared" ca="1" si="15"/>
        <v>14.31</v>
      </c>
      <c r="D65" s="265">
        <f t="shared" ca="1" si="16"/>
        <v>12.256666666666668</v>
      </c>
      <c r="E65" s="265">
        <f t="shared" ca="1" si="17"/>
        <v>10.203333333333333</v>
      </c>
      <c r="F65" s="265">
        <f t="shared" si="28"/>
        <v>8.15</v>
      </c>
      <c r="G65" s="265">
        <f t="shared" ca="1" si="18"/>
        <v>6.0966666666666667</v>
      </c>
      <c r="H65" s="265">
        <f t="shared" ca="1" si="19"/>
        <v>4.043333333333333</v>
      </c>
      <c r="I65" s="265">
        <f t="shared" ca="1" si="20"/>
        <v>1.9900000000000002</v>
      </c>
      <c r="J65">
        <f t="shared" ca="1" si="21"/>
        <v>7</v>
      </c>
      <c r="L65">
        <f t="shared" ca="1" si="23"/>
        <v>7.5656842105263156</v>
      </c>
      <c r="M65">
        <f t="shared" ca="1" si="24"/>
        <v>5.8157192982456136</v>
      </c>
      <c r="N65">
        <f t="shared" ca="1" si="25"/>
        <v>4.0657543859649117</v>
      </c>
      <c r="O65" s="265">
        <f t="shared" ca="1" si="29"/>
        <v>2.3157894736842106</v>
      </c>
      <c r="P65">
        <f t="shared" ca="1" si="26"/>
        <v>0.56582456140350912</v>
      </c>
      <c r="Q65">
        <f t="shared" ca="1" si="27"/>
        <v>0</v>
      </c>
      <c r="R65">
        <v>0</v>
      </c>
    </row>
    <row r="66" spans="1:152" x14ac:dyDescent="0.25">
      <c r="B66" s="267"/>
      <c r="C66" s="265">
        <f t="shared" ref="C66:C84" ca="1" si="30">F66+2.66*O66</f>
        <v>14.31</v>
      </c>
      <c r="D66" s="265">
        <f t="shared" ref="D66:D84" ca="1" si="31">F66+(2/3)*2.66*O66</f>
        <v>12.256666666666668</v>
      </c>
      <c r="E66" s="265">
        <f t="shared" ref="E66:E97" ca="1" si="32">F66+(1/3)*2.66*O66</f>
        <v>10.203333333333333</v>
      </c>
      <c r="F66" s="265">
        <f t="shared" si="28"/>
        <v>8.15</v>
      </c>
      <c r="G66" s="265">
        <f t="shared" ref="G66:G97" ca="1" si="33">F66-(1/3)*2.66*O66</f>
        <v>6.0966666666666667</v>
      </c>
      <c r="H66" s="265">
        <f t="shared" ref="H66:H84" ca="1" si="34">F66-(2/3)*2.66*O66</f>
        <v>4.043333333333333</v>
      </c>
      <c r="I66" s="265">
        <f t="shared" ref="I66:I84" ca="1" si="35">F66-2.66*O66</f>
        <v>1.9900000000000002</v>
      </c>
      <c r="J66">
        <f t="shared" ca="1" si="21"/>
        <v>7</v>
      </c>
      <c r="K66" t="str">
        <f t="shared" ca="1" si="22"/>
        <v/>
      </c>
      <c r="L66">
        <f t="shared" ca="1" si="23"/>
        <v>7.5656842105263156</v>
      </c>
      <c r="M66">
        <f t="shared" ca="1" si="24"/>
        <v>5.8157192982456136</v>
      </c>
      <c r="N66">
        <f t="shared" ca="1" si="25"/>
        <v>4.0657543859649117</v>
      </c>
      <c r="O66" s="265">
        <f t="shared" ca="1" si="29"/>
        <v>2.3157894736842106</v>
      </c>
      <c r="P66">
        <f t="shared" ca="1" si="26"/>
        <v>0.56582456140350912</v>
      </c>
      <c r="Q66">
        <f t="shared" ca="1" si="27"/>
        <v>0</v>
      </c>
      <c r="R66">
        <v>0</v>
      </c>
    </row>
    <row r="67" spans="1:152" x14ac:dyDescent="0.25">
      <c r="B67" s="267"/>
      <c r="C67" s="265">
        <f t="shared" ca="1" si="30"/>
        <v>14.31</v>
      </c>
      <c r="D67" s="265">
        <f t="shared" ca="1" si="31"/>
        <v>12.256666666666668</v>
      </c>
      <c r="E67" s="265">
        <f t="shared" ca="1" si="32"/>
        <v>10.203333333333333</v>
      </c>
      <c r="F67" s="265">
        <f t="shared" si="28"/>
        <v>8.15</v>
      </c>
      <c r="G67" s="265">
        <f t="shared" ca="1" si="33"/>
        <v>6.0966666666666667</v>
      </c>
      <c r="H67" s="265">
        <f t="shared" ca="1" si="34"/>
        <v>4.043333333333333</v>
      </c>
      <c r="I67" s="265">
        <f t="shared" ca="1" si="35"/>
        <v>1.9900000000000002</v>
      </c>
      <c r="J67">
        <f t="shared" ref="J67:J84" ca="1" si="36">IF(ISBLANK(B67),OFFSET(J67,-1,0,1,1),B67)</f>
        <v>7</v>
      </c>
      <c r="K67" t="str">
        <f t="shared" ref="K67:K84" ca="1" si="37">IF(OR(OFFSET(K67,-1,-9,1,1)="",OFFSET(K67,0,-9,1,1)=""),"",IF(ISERROR(ABS(B67-OFFSET(K67,-1,-1,1,1))),"",ABS(B67-OFFSET(K67,-1,-1,1,1))))</f>
        <v/>
      </c>
      <c r="L67">
        <f t="shared" ref="L67:L84" ca="1" si="38">3.267*O67</f>
        <v>7.5656842105263156</v>
      </c>
      <c r="M67">
        <f t="shared" ref="M67:M98" ca="1" si="39">(2/3)*(L67-O67)+O67</f>
        <v>5.8157192982456136</v>
      </c>
      <c r="N67">
        <f t="shared" ref="N67:N98" ca="1" si="40">(1/3)*(L67-O67)+O67</f>
        <v>4.0657543859649117</v>
      </c>
      <c r="O67" s="265">
        <f t="shared" ca="1" si="29"/>
        <v>2.3157894736842106</v>
      </c>
      <c r="P67">
        <f t="shared" ref="P67:P98" ca="1" si="41">(MAX(O67-(1/3)*(L67-O67),0))</f>
        <v>0.56582456140350912</v>
      </c>
      <c r="Q67">
        <f t="shared" ref="Q67:Q84" ca="1" si="42">MAX(O67-(2/3)*(L67-O67),0)</f>
        <v>0</v>
      </c>
      <c r="R67">
        <v>0</v>
      </c>
    </row>
    <row r="68" spans="1:152" x14ac:dyDescent="0.25">
      <c r="B68" s="267"/>
      <c r="C68" s="265">
        <f t="shared" ca="1" si="30"/>
        <v>14.31</v>
      </c>
      <c r="D68" s="265">
        <f t="shared" ca="1" si="31"/>
        <v>12.256666666666668</v>
      </c>
      <c r="E68" s="265">
        <f t="shared" ca="1" si="32"/>
        <v>10.203333333333333</v>
      </c>
      <c r="F68" s="265">
        <f t="shared" si="28"/>
        <v>8.15</v>
      </c>
      <c r="G68" s="265">
        <f t="shared" ca="1" si="33"/>
        <v>6.0966666666666667</v>
      </c>
      <c r="H68" s="265">
        <f t="shared" ca="1" si="34"/>
        <v>4.043333333333333</v>
      </c>
      <c r="I68" s="265">
        <f t="shared" ca="1" si="35"/>
        <v>1.9900000000000002</v>
      </c>
      <c r="J68">
        <f t="shared" ca="1" si="36"/>
        <v>7</v>
      </c>
      <c r="K68" t="str">
        <f t="shared" ca="1" si="37"/>
        <v/>
      </c>
      <c r="L68">
        <f t="shared" ca="1" si="38"/>
        <v>7.5656842105263156</v>
      </c>
      <c r="M68">
        <f t="shared" ca="1" si="39"/>
        <v>5.8157192982456136</v>
      </c>
      <c r="N68">
        <f t="shared" ca="1" si="40"/>
        <v>4.0657543859649117</v>
      </c>
      <c r="O68" s="265">
        <f t="shared" ca="1" si="29"/>
        <v>2.3157894736842106</v>
      </c>
      <c r="P68">
        <f t="shared" ca="1" si="41"/>
        <v>0.56582456140350912</v>
      </c>
      <c r="Q68">
        <f t="shared" ca="1" si="42"/>
        <v>0</v>
      </c>
      <c r="R68">
        <v>0</v>
      </c>
    </row>
    <row r="69" spans="1:152" x14ac:dyDescent="0.25">
      <c r="B69" s="267"/>
      <c r="C69" s="265">
        <f t="shared" ca="1" si="30"/>
        <v>14.31</v>
      </c>
      <c r="D69" s="265">
        <f t="shared" ca="1" si="31"/>
        <v>12.256666666666668</v>
      </c>
      <c r="E69" s="265">
        <f t="shared" ca="1" si="32"/>
        <v>10.203333333333333</v>
      </c>
      <c r="F69" s="265">
        <f t="shared" si="28"/>
        <v>8.15</v>
      </c>
      <c r="G69" s="265">
        <f t="shared" ca="1" si="33"/>
        <v>6.0966666666666667</v>
      </c>
      <c r="H69" s="265">
        <f t="shared" ca="1" si="34"/>
        <v>4.043333333333333</v>
      </c>
      <c r="I69" s="265">
        <f t="shared" ca="1" si="35"/>
        <v>1.9900000000000002</v>
      </c>
      <c r="J69">
        <f t="shared" ca="1" si="36"/>
        <v>7</v>
      </c>
      <c r="K69" t="str">
        <f t="shared" ca="1" si="37"/>
        <v/>
      </c>
      <c r="L69">
        <f t="shared" ca="1" si="38"/>
        <v>7.5656842105263156</v>
      </c>
      <c r="M69">
        <f t="shared" ca="1" si="39"/>
        <v>5.8157192982456136</v>
      </c>
      <c r="N69">
        <f t="shared" ca="1" si="40"/>
        <v>4.0657543859649117</v>
      </c>
      <c r="O69" s="265">
        <f t="shared" ca="1" si="29"/>
        <v>2.3157894736842106</v>
      </c>
      <c r="P69">
        <f t="shared" ca="1" si="41"/>
        <v>0.56582456140350912</v>
      </c>
      <c r="Q69">
        <f t="shared" ca="1" si="42"/>
        <v>0</v>
      </c>
      <c r="R69">
        <v>0</v>
      </c>
    </row>
    <row r="70" spans="1:152" x14ac:dyDescent="0.25">
      <c r="B70" s="267"/>
      <c r="C70" s="265">
        <f t="shared" ca="1" si="30"/>
        <v>14.31</v>
      </c>
      <c r="D70" s="265">
        <f t="shared" ca="1" si="31"/>
        <v>12.256666666666668</v>
      </c>
      <c r="E70" s="265">
        <f t="shared" ca="1" si="32"/>
        <v>10.203333333333333</v>
      </c>
      <c r="F70" s="265">
        <f t="shared" si="28"/>
        <v>8.15</v>
      </c>
      <c r="G70" s="265">
        <f t="shared" ca="1" si="33"/>
        <v>6.0966666666666667</v>
      </c>
      <c r="H70" s="265">
        <f t="shared" ca="1" si="34"/>
        <v>4.043333333333333</v>
      </c>
      <c r="I70" s="265">
        <f t="shared" ca="1" si="35"/>
        <v>1.9900000000000002</v>
      </c>
      <c r="J70">
        <f t="shared" ca="1" si="36"/>
        <v>7</v>
      </c>
      <c r="K70" t="str">
        <f t="shared" ca="1" si="37"/>
        <v/>
      </c>
      <c r="L70">
        <f t="shared" ca="1" si="38"/>
        <v>7.5656842105263156</v>
      </c>
      <c r="M70">
        <f t="shared" ca="1" si="39"/>
        <v>5.8157192982456136</v>
      </c>
      <c r="N70">
        <f t="shared" ca="1" si="40"/>
        <v>4.0657543859649117</v>
      </c>
      <c r="O70" s="265">
        <f t="shared" ca="1" si="29"/>
        <v>2.3157894736842106</v>
      </c>
      <c r="P70">
        <f t="shared" ca="1" si="41"/>
        <v>0.56582456140350912</v>
      </c>
      <c r="Q70">
        <f t="shared" ca="1" si="42"/>
        <v>0</v>
      </c>
      <c r="R70">
        <v>0</v>
      </c>
    </row>
    <row r="71" spans="1:152" x14ac:dyDescent="0.25">
      <c r="B71" s="267"/>
      <c r="C71" s="265">
        <f t="shared" ca="1" si="30"/>
        <v>14.31</v>
      </c>
      <c r="D71" s="265">
        <f t="shared" ca="1" si="31"/>
        <v>12.256666666666668</v>
      </c>
      <c r="E71" s="265">
        <f t="shared" ca="1" si="32"/>
        <v>10.203333333333333</v>
      </c>
      <c r="F71" s="265">
        <f t="shared" si="28"/>
        <v>8.15</v>
      </c>
      <c r="G71" s="265">
        <f t="shared" ca="1" si="33"/>
        <v>6.0966666666666667</v>
      </c>
      <c r="H71" s="265">
        <f t="shared" ca="1" si="34"/>
        <v>4.043333333333333</v>
      </c>
      <c r="I71" s="265">
        <f t="shared" ca="1" si="35"/>
        <v>1.9900000000000002</v>
      </c>
      <c r="J71">
        <f t="shared" ca="1" si="36"/>
        <v>7</v>
      </c>
      <c r="K71" t="str">
        <f t="shared" ca="1" si="37"/>
        <v/>
      </c>
      <c r="L71">
        <f t="shared" ca="1" si="38"/>
        <v>7.5656842105263156</v>
      </c>
      <c r="M71">
        <f t="shared" ca="1" si="39"/>
        <v>5.8157192982456136</v>
      </c>
      <c r="N71">
        <f t="shared" ca="1" si="40"/>
        <v>4.0657543859649117</v>
      </c>
      <c r="O71" s="265">
        <f t="shared" ca="1" si="29"/>
        <v>2.3157894736842106</v>
      </c>
      <c r="P71">
        <f t="shared" ca="1" si="41"/>
        <v>0.56582456140350912</v>
      </c>
      <c r="Q71">
        <f t="shared" ca="1" si="42"/>
        <v>0</v>
      </c>
      <c r="R71">
        <v>0</v>
      </c>
    </row>
    <row r="72" spans="1:152" x14ac:dyDescent="0.25">
      <c r="B72" s="267"/>
      <c r="C72" s="265">
        <f t="shared" ca="1" si="30"/>
        <v>14.31</v>
      </c>
      <c r="D72" s="265">
        <f t="shared" ca="1" si="31"/>
        <v>12.256666666666668</v>
      </c>
      <c r="E72" s="265">
        <f t="shared" ca="1" si="32"/>
        <v>10.203333333333333</v>
      </c>
      <c r="F72" s="265">
        <f t="shared" si="28"/>
        <v>8.15</v>
      </c>
      <c r="G72" s="265">
        <f t="shared" ca="1" si="33"/>
        <v>6.0966666666666667</v>
      </c>
      <c r="H72" s="265">
        <f t="shared" ca="1" si="34"/>
        <v>4.043333333333333</v>
      </c>
      <c r="I72" s="265">
        <f t="shared" ca="1" si="35"/>
        <v>1.9900000000000002</v>
      </c>
      <c r="J72">
        <f t="shared" ca="1" si="36"/>
        <v>7</v>
      </c>
      <c r="K72" t="str">
        <f t="shared" ca="1" si="37"/>
        <v/>
      </c>
      <c r="L72">
        <f t="shared" ca="1" si="38"/>
        <v>7.5656842105263156</v>
      </c>
      <c r="M72">
        <f t="shared" ca="1" si="39"/>
        <v>5.8157192982456136</v>
      </c>
      <c r="N72">
        <f t="shared" ca="1" si="40"/>
        <v>4.0657543859649117</v>
      </c>
      <c r="O72" s="265">
        <f t="shared" ca="1" si="29"/>
        <v>2.3157894736842106</v>
      </c>
      <c r="P72">
        <f t="shared" ca="1" si="41"/>
        <v>0.56582456140350912</v>
      </c>
      <c r="Q72">
        <f t="shared" ca="1" si="42"/>
        <v>0</v>
      </c>
      <c r="R72">
        <v>0</v>
      </c>
    </row>
    <row r="73" spans="1:152" x14ac:dyDescent="0.25">
      <c r="B73" s="267"/>
      <c r="C73" s="265">
        <f t="shared" ca="1" si="30"/>
        <v>14.31</v>
      </c>
      <c r="D73" s="265">
        <f t="shared" ca="1" si="31"/>
        <v>12.256666666666668</v>
      </c>
      <c r="E73" s="265">
        <f t="shared" ca="1" si="32"/>
        <v>10.203333333333333</v>
      </c>
      <c r="F73" s="265">
        <f t="shared" si="28"/>
        <v>8.15</v>
      </c>
      <c r="G73" s="265">
        <f t="shared" ca="1" si="33"/>
        <v>6.0966666666666667</v>
      </c>
      <c r="H73" s="265">
        <f t="shared" ca="1" si="34"/>
        <v>4.043333333333333</v>
      </c>
      <c r="I73" s="265">
        <f t="shared" ca="1" si="35"/>
        <v>1.9900000000000002</v>
      </c>
      <c r="J73">
        <f t="shared" ca="1" si="36"/>
        <v>7</v>
      </c>
      <c r="K73" t="str">
        <f t="shared" ca="1" si="37"/>
        <v/>
      </c>
      <c r="L73">
        <f t="shared" ca="1" si="38"/>
        <v>7.5656842105263156</v>
      </c>
      <c r="M73">
        <f t="shared" ca="1" si="39"/>
        <v>5.8157192982456136</v>
      </c>
      <c r="N73">
        <f t="shared" ca="1" si="40"/>
        <v>4.0657543859649117</v>
      </c>
      <c r="O73" s="265">
        <f t="shared" ca="1" si="29"/>
        <v>2.3157894736842106</v>
      </c>
      <c r="P73">
        <f t="shared" ca="1" si="41"/>
        <v>0.56582456140350912</v>
      </c>
      <c r="Q73">
        <f t="shared" ca="1" si="42"/>
        <v>0</v>
      </c>
      <c r="R73">
        <v>0</v>
      </c>
    </row>
    <row r="74" spans="1:152" x14ac:dyDescent="0.25">
      <c r="B74" s="267"/>
      <c r="C74" s="265">
        <f t="shared" ca="1" si="30"/>
        <v>14.31</v>
      </c>
      <c r="D74" s="265">
        <f t="shared" ca="1" si="31"/>
        <v>12.256666666666668</v>
      </c>
      <c r="E74" s="265">
        <f t="shared" ca="1" si="32"/>
        <v>10.203333333333333</v>
      </c>
      <c r="F74" s="265">
        <f t="shared" si="28"/>
        <v>8.15</v>
      </c>
      <c r="G74" s="265">
        <f t="shared" ca="1" si="33"/>
        <v>6.0966666666666667</v>
      </c>
      <c r="H74" s="265">
        <f t="shared" ca="1" si="34"/>
        <v>4.043333333333333</v>
      </c>
      <c r="I74" s="265">
        <f t="shared" ca="1" si="35"/>
        <v>1.9900000000000002</v>
      </c>
      <c r="J74">
        <f t="shared" ca="1" si="36"/>
        <v>7</v>
      </c>
      <c r="K74" t="str">
        <f t="shared" ca="1" si="37"/>
        <v/>
      </c>
      <c r="L74">
        <f t="shared" ca="1" si="38"/>
        <v>7.5656842105263156</v>
      </c>
      <c r="M74">
        <f t="shared" ca="1" si="39"/>
        <v>5.8157192982456136</v>
      </c>
      <c r="N74">
        <f t="shared" ca="1" si="40"/>
        <v>4.0657543859649117</v>
      </c>
      <c r="O74" s="265">
        <f t="shared" ca="1" si="29"/>
        <v>2.3157894736842106</v>
      </c>
      <c r="P74">
        <f t="shared" ca="1" si="41"/>
        <v>0.56582456140350912</v>
      </c>
      <c r="Q74">
        <f t="shared" ca="1" si="42"/>
        <v>0</v>
      </c>
      <c r="R74">
        <v>0</v>
      </c>
    </row>
    <row r="75" spans="1:152" x14ac:dyDescent="0.25">
      <c r="B75" s="267"/>
      <c r="C75" s="265">
        <f t="shared" ca="1" si="30"/>
        <v>14.31</v>
      </c>
      <c r="D75" s="265">
        <f t="shared" ca="1" si="31"/>
        <v>12.256666666666668</v>
      </c>
      <c r="E75" s="265">
        <f t="shared" ca="1" si="32"/>
        <v>10.203333333333333</v>
      </c>
      <c r="F75" s="265">
        <f t="shared" si="28"/>
        <v>8.15</v>
      </c>
      <c r="G75" s="265">
        <f t="shared" ca="1" si="33"/>
        <v>6.0966666666666667</v>
      </c>
      <c r="H75" s="265">
        <f t="shared" ca="1" si="34"/>
        <v>4.043333333333333</v>
      </c>
      <c r="I75" s="265">
        <f t="shared" ca="1" si="35"/>
        <v>1.9900000000000002</v>
      </c>
      <c r="J75">
        <f t="shared" ca="1" si="36"/>
        <v>7</v>
      </c>
      <c r="K75" t="str">
        <f t="shared" ca="1" si="37"/>
        <v/>
      </c>
      <c r="L75">
        <f t="shared" ca="1" si="38"/>
        <v>7.5656842105263156</v>
      </c>
      <c r="M75">
        <f t="shared" ca="1" si="39"/>
        <v>5.8157192982456136</v>
      </c>
      <c r="N75">
        <f t="shared" ca="1" si="40"/>
        <v>4.0657543859649117</v>
      </c>
      <c r="O75" s="265">
        <f t="shared" ca="1" si="29"/>
        <v>2.3157894736842106</v>
      </c>
      <c r="P75">
        <f t="shared" ca="1" si="41"/>
        <v>0.56582456140350912</v>
      </c>
      <c r="Q75">
        <f t="shared" ca="1" si="42"/>
        <v>0</v>
      </c>
      <c r="R75">
        <v>0</v>
      </c>
    </row>
    <row r="76" spans="1:152" x14ac:dyDescent="0.25">
      <c r="B76" s="267"/>
      <c r="C76" s="265">
        <f t="shared" ca="1" si="30"/>
        <v>14.31</v>
      </c>
      <c r="D76" s="265">
        <f t="shared" ca="1" si="31"/>
        <v>12.256666666666668</v>
      </c>
      <c r="E76" s="265">
        <f t="shared" ca="1" si="32"/>
        <v>10.203333333333333</v>
      </c>
      <c r="F76" s="265">
        <f t="shared" si="28"/>
        <v>8.15</v>
      </c>
      <c r="G76" s="265">
        <f t="shared" ca="1" si="33"/>
        <v>6.0966666666666667</v>
      </c>
      <c r="H76" s="265">
        <f t="shared" ca="1" si="34"/>
        <v>4.043333333333333</v>
      </c>
      <c r="I76" s="265">
        <f t="shared" ca="1" si="35"/>
        <v>1.9900000000000002</v>
      </c>
      <c r="J76">
        <f t="shared" ca="1" si="36"/>
        <v>7</v>
      </c>
      <c r="K76" t="str">
        <f t="shared" ca="1" si="37"/>
        <v/>
      </c>
      <c r="L76">
        <f t="shared" ca="1" si="38"/>
        <v>7.5656842105263156</v>
      </c>
      <c r="M76">
        <f t="shared" ca="1" si="39"/>
        <v>5.8157192982456136</v>
      </c>
      <c r="N76">
        <f t="shared" ca="1" si="40"/>
        <v>4.0657543859649117</v>
      </c>
      <c r="O76" s="265">
        <f t="shared" ca="1" si="29"/>
        <v>2.3157894736842106</v>
      </c>
      <c r="P76">
        <f t="shared" ca="1" si="41"/>
        <v>0.56582456140350912</v>
      </c>
      <c r="Q76">
        <f t="shared" ca="1" si="42"/>
        <v>0</v>
      </c>
      <c r="R76">
        <v>0</v>
      </c>
    </row>
    <row r="77" spans="1:152" x14ac:dyDescent="0.25">
      <c r="B77" s="267"/>
      <c r="C77" s="265">
        <f t="shared" ca="1" si="30"/>
        <v>14.31</v>
      </c>
      <c r="D77" s="265">
        <f t="shared" ca="1" si="31"/>
        <v>12.256666666666668</v>
      </c>
      <c r="E77" s="265">
        <f t="shared" ca="1" si="32"/>
        <v>10.203333333333333</v>
      </c>
      <c r="F77" s="265">
        <f t="shared" si="28"/>
        <v>8.15</v>
      </c>
      <c r="G77" s="265">
        <f t="shared" ca="1" si="33"/>
        <v>6.0966666666666667</v>
      </c>
      <c r="H77" s="265">
        <f t="shared" ca="1" si="34"/>
        <v>4.043333333333333</v>
      </c>
      <c r="I77" s="265">
        <f t="shared" ca="1" si="35"/>
        <v>1.9900000000000002</v>
      </c>
      <c r="J77">
        <f t="shared" ca="1" si="36"/>
        <v>7</v>
      </c>
      <c r="K77" t="str">
        <f t="shared" ca="1" si="37"/>
        <v/>
      </c>
      <c r="L77">
        <f t="shared" ca="1" si="38"/>
        <v>7.5656842105263156</v>
      </c>
      <c r="M77">
        <f t="shared" ca="1" si="39"/>
        <v>5.8157192982456136</v>
      </c>
      <c r="N77">
        <f t="shared" ca="1" si="40"/>
        <v>4.0657543859649117</v>
      </c>
      <c r="O77" s="265">
        <f t="shared" ca="1" si="29"/>
        <v>2.3157894736842106</v>
      </c>
      <c r="P77">
        <f t="shared" ca="1" si="41"/>
        <v>0.56582456140350912</v>
      </c>
      <c r="Q77">
        <f t="shared" ca="1" si="42"/>
        <v>0</v>
      </c>
      <c r="R77">
        <v>0</v>
      </c>
    </row>
    <row r="78" spans="1:152" x14ac:dyDescent="0.25">
      <c r="B78" s="267"/>
      <c r="C78" s="265">
        <f t="shared" ca="1" si="30"/>
        <v>14.31</v>
      </c>
      <c r="D78" s="265">
        <f t="shared" ca="1" si="31"/>
        <v>12.256666666666668</v>
      </c>
      <c r="E78" s="265">
        <f t="shared" ca="1" si="32"/>
        <v>10.203333333333333</v>
      </c>
      <c r="F78" s="265">
        <f t="shared" si="28"/>
        <v>8.15</v>
      </c>
      <c r="G78" s="265">
        <f t="shared" ca="1" si="33"/>
        <v>6.0966666666666667</v>
      </c>
      <c r="H78" s="265">
        <f t="shared" ca="1" si="34"/>
        <v>4.043333333333333</v>
      </c>
      <c r="I78" s="265">
        <f t="shared" ca="1" si="35"/>
        <v>1.9900000000000002</v>
      </c>
      <c r="J78">
        <f t="shared" ca="1" si="36"/>
        <v>7</v>
      </c>
      <c r="K78" t="str">
        <f t="shared" ca="1" si="37"/>
        <v/>
      </c>
      <c r="L78">
        <f t="shared" ca="1" si="38"/>
        <v>7.5656842105263156</v>
      </c>
      <c r="M78">
        <f t="shared" ca="1" si="39"/>
        <v>5.8157192982456136</v>
      </c>
      <c r="N78">
        <f t="shared" ca="1" si="40"/>
        <v>4.0657543859649117</v>
      </c>
      <c r="O78" s="265">
        <f t="shared" ca="1" si="29"/>
        <v>2.3157894736842106</v>
      </c>
      <c r="P78">
        <f t="shared" ca="1" si="41"/>
        <v>0.56582456140350912</v>
      </c>
      <c r="Q78">
        <f t="shared" ca="1" si="42"/>
        <v>0</v>
      </c>
      <c r="R78">
        <v>0</v>
      </c>
    </row>
    <row r="79" spans="1:152" x14ac:dyDescent="0.25">
      <c r="B79" s="267"/>
      <c r="C79" s="265">
        <f t="shared" ca="1" si="30"/>
        <v>14.31</v>
      </c>
      <c r="D79" s="265">
        <f t="shared" ca="1" si="31"/>
        <v>12.256666666666668</v>
      </c>
      <c r="E79" s="265">
        <f t="shared" ca="1" si="32"/>
        <v>10.203333333333333</v>
      </c>
      <c r="F79" s="265">
        <f t="shared" si="28"/>
        <v>8.15</v>
      </c>
      <c r="G79" s="265">
        <f t="shared" ca="1" si="33"/>
        <v>6.0966666666666667</v>
      </c>
      <c r="H79" s="265">
        <f t="shared" ca="1" si="34"/>
        <v>4.043333333333333</v>
      </c>
      <c r="I79" s="265">
        <f t="shared" ca="1" si="35"/>
        <v>1.9900000000000002</v>
      </c>
      <c r="J79">
        <f t="shared" ca="1" si="36"/>
        <v>7</v>
      </c>
      <c r="K79" t="str">
        <f t="shared" ca="1" si="37"/>
        <v/>
      </c>
      <c r="L79">
        <f t="shared" ca="1" si="38"/>
        <v>7.5656842105263156</v>
      </c>
      <c r="M79">
        <f t="shared" ca="1" si="39"/>
        <v>5.8157192982456136</v>
      </c>
      <c r="N79">
        <f t="shared" ca="1" si="40"/>
        <v>4.0657543859649117</v>
      </c>
      <c r="O79" s="265">
        <f t="shared" ca="1" si="29"/>
        <v>2.3157894736842106</v>
      </c>
      <c r="P79">
        <f t="shared" ca="1" si="41"/>
        <v>0.56582456140350912</v>
      </c>
      <c r="Q79">
        <f t="shared" ca="1" si="42"/>
        <v>0</v>
      </c>
      <c r="R79">
        <v>0</v>
      </c>
    </row>
    <row r="80" spans="1:152" x14ac:dyDescent="0.25">
      <c r="B80" s="267"/>
      <c r="C80" s="265">
        <f t="shared" ca="1" si="30"/>
        <v>14.31</v>
      </c>
      <c r="D80" s="265">
        <f t="shared" ca="1" si="31"/>
        <v>12.256666666666668</v>
      </c>
      <c r="E80" s="265">
        <f t="shared" ca="1" si="32"/>
        <v>10.203333333333333</v>
      </c>
      <c r="F80" s="265">
        <f t="shared" si="28"/>
        <v>8.15</v>
      </c>
      <c r="G80" s="265">
        <f t="shared" ca="1" si="33"/>
        <v>6.0966666666666667</v>
      </c>
      <c r="H80" s="265">
        <f t="shared" ca="1" si="34"/>
        <v>4.043333333333333</v>
      </c>
      <c r="I80" s="265">
        <f t="shared" ca="1" si="35"/>
        <v>1.9900000000000002</v>
      </c>
      <c r="J80">
        <f t="shared" ca="1" si="36"/>
        <v>7</v>
      </c>
      <c r="K80" t="str">
        <f t="shared" ca="1" si="37"/>
        <v/>
      </c>
      <c r="L80">
        <f t="shared" ca="1" si="38"/>
        <v>7.5656842105263156</v>
      </c>
      <c r="M80">
        <f t="shared" ca="1" si="39"/>
        <v>5.8157192982456136</v>
      </c>
      <c r="N80">
        <f t="shared" ca="1" si="40"/>
        <v>4.0657543859649117</v>
      </c>
      <c r="O80" s="265">
        <f t="shared" ca="1" si="29"/>
        <v>2.3157894736842106</v>
      </c>
      <c r="P80">
        <f t="shared" ca="1" si="41"/>
        <v>0.56582456140350912</v>
      </c>
      <c r="Q80">
        <f t="shared" ca="1" si="42"/>
        <v>0</v>
      </c>
      <c r="R80">
        <v>0</v>
      </c>
    </row>
    <row r="81" spans="1:152" x14ac:dyDescent="0.25">
      <c r="B81" s="267"/>
      <c r="C81" s="265">
        <f t="shared" ca="1" si="30"/>
        <v>14.31</v>
      </c>
      <c r="D81" s="265">
        <f t="shared" ca="1" si="31"/>
        <v>12.256666666666668</v>
      </c>
      <c r="E81" s="265">
        <f t="shared" ca="1" si="32"/>
        <v>10.203333333333333</v>
      </c>
      <c r="F81" s="265">
        <f t="shared" si="28"/>
        <v>8.15</v>
      </c>
      <c r="G81" s="265">
        <f t="shared" ca="1" si="33"/>
        <v>6.0966666666666667</v>
      </c>
      <c r="H81" s="265">
        <f t="shared" ca="1" si="34"/>
        <v>4.043333333333333</v>
      </c>
      <c r="I81" s="265">
        <f t="shared" ca="1" si="35"/>
        <v>1.9900000000000002</v>
      </c>
      <c r="J81">
        <f t="shared" ca="1" si="36"/>
        <v>7</v>
      </c>
      <c r="K81" t="str">
        <f t="shared" ca="1" si="37"/>
        <v/>
      </c>
      <c r="L81">
        <f t="shared" ca="1" si="38"/>
        <v>7.5656842105263156</v>
      </c>
      <c r="M81">
        <f t="shared" ca="1" si="39"/>
        <v>5.8157192982456136</v>
      </c>
      <c r="N81">
        <f t="shared" ca="1" si="40"/>
        <v>4.0657543859649117</v>
      </c>
      <c r="O81" s="265">
        <f t="shared" ca="1" si="29"/>
        <v>2.3157894736842106</v>
      </c>
      <c r="P81">
        <f t="shared" ca="1" si="41"/>
        <v>0.56582456140350912</v>
      </c>
      <c r="Q81">
        <f t="shared" ca="1" si="42"/>
        <v>0</v>
      </c>
      <c r="R81">
        <v>0</v>
      </c>
    </row>
    <row r="82" spans="1:152" x14ac:dyDescent="0.25">
      <c r="B82" s="267"/>
      <c r="C82" s="265">
        <f t="shared" ca="1" si="30"/>
        <v>14.31</v>
      </c>
      <c r="D82" s="265">
        <f t="shared" ca="1" si="31"/>
        <v>12.256666666666668</v>
      </c>
      <c r="E82" s="265">
        <f t="shared" ca="1" si="32"/>
        <v>10.203333333333333</v>
      </c>
      <c r="F82" s="265">
        <f t="shared" si="28"/>
        <v>8.15</v>
      </c>
      <c r="G82" s="265">
        <f t="shared" ca="1" si="33"/>
        <v>6.0966666666666667</v>
      </c>
      <c r="H82" s="265">
        <f t="shared" ca="1" si="34"/>
        <v>4.043333333333333</v>
      </c>
      <c r="I82" s="265">
        <f t="shared" ca="1" si="35"/>
        <v>1.9900000000000002</v>
      </c>
      <c r="J82">
        <f t="shared" ca="1" si="36"/>
        <v>7</v>
      </c>
      <c r="K82" t="str">
        <f t="shared" ca="1" si="37"/>
        <v/>
      </c>
      <c r="L82">
        <f t="shared" ca="1" si="38"/>
        <v>7.5656842105263156</v>
      </c>
      <c r="M82">
        <f t="shared" ca="1" si="39"/>
        <v>5.8157192982456136</v>
      </c>
      <c r="N82">
        <f t="shared" ca="1" si="40"/>
        <v>4.0657543859649117</v>
      </c>
      <c r="O82" s="265">
        <f t="shared" ca="1" si="29"/>
        <v>2.3157894736842106</v>
      </c>
      <c r="P82">
        <f t="shared" ca="1" si="41"/>
        <v>0.56582456140350912</v>
      </c>
      <c r="Q82">
        <f t="shared" ca="1" si="42"/>
        <v>0</v>
      </c>
      <c r="R82">
        <v>0</v>
      </c>
    </row>
    <row r="83" spans="1:152" x14ac:dyDescent="0.25">
      <c r="B83" s="267"/>
      <c r="C83" s="265">
        <f t="shared" ca="1" si="30"/>
        <v>14.31</v>
      </c>
      <c r="D83" s="265">
        <f t="shared" ca="1" si="31"/>
        <v>12.256666666666668</v>
      </c>
      <c r="E83" s="265">
        <f t="shared" ca="1" si="32"/>
        <v>10.203333333333333</v>
      </c>
      <c r="F83" s="265">
        <f t="shared" si="28"/>
        <v>8.15</v>
      </c>
      <c r="G83" s="265">
        <f t="shared" ca="1" si="33"/>
        <v>6.0966666666666667</v>
      </c>
      <c r="H83" s="265">
        <f t="shared" ca="1" si="34"/>
        <v>4.043333333333333</v>
      </c>
      <c r="I83" s="265">
        <f t="shared" ca="1" si="35"/>
        <v>1.9900000000000002</v>
      </c>
      <c r="J83">
        <f t="shared" ca="1" si="36"/>
        <v>7</v>
      </c>
      <c r="K83" t="str">
        <f t="shared" ca="1" si="37"/>
        <v/>
      </c>
      <c r="L83">
        <f t="shared" ca="1" si="38"/>
        <v>7.5656842105263156</v>
      </c>
      <c r="M83">
        <f t="shared" ca="1" si="39"/>
        <v>5.8157192982456136</v>
      </c>
      <c r="N83">
        <f t="shared" ca="1" si="40"/>
        <v>4.0657543859649117</v>
      </c>
      <c r="O83" s="265">
        <f t="shared" ca="1" si="29"/>
        <v>2.3157894736842106</v>
      </c>
      <c r="P83">
        <f t="shared" ca="1" si="41"/>
        <v>0.56582456140350912</v>
      </c>
      <c r="Q83">
        <f t="shared" ca="1" si="42"/>
        <v>0</v>
      </c>
      <c r="R83">
        <v>0</v>
      </c>
    </row>
    <row r="84" spans="1:152" x14ac:dyDescent="0.25">
      <c r="B84" s="267"/>
      <c r="C84" s="265">
        <f t="shared" ca="1" si="30"/>
        <v>14.31</v>
      </c>
      <c r="D84" s="265">
        <f t="shared" ca="1" si="31"/>
        <v>12.256666666666668</v>
      </c>
      <c r="E84" s="265">
        <f t="shared" ca="1" si="32"/>
        <v>10.203333333333333</v>
      </c>
      <c r="F84" s="265">
        <f t="shared" si="28"/>
        <v>8.15</v>
      </c>
      <c r="G84" s="265">
        <f t="shared" ca="1" si="33"/>
        <v>6.0966666666666667</v>
      </c>
      <c r="H84" s="265">
        <f t="shared" ca="1" si="34"/>
        <v>4.043333333333333</v>
      </c>
      <c r="I84" s="265">
        <f t="shared" ca="1" si="35"/>
        <v>1.9900000000000002</v>
      </c>
      <c r="J84">
        <f t="shared" ca="1" si="36"/>
        <v>7</v>
      </c>
      <c r="K84" t="str">
        <f t="shared" ca="1" si="37"/>
        <v/>
      </c>
      <c r="L84">
        <f t="shared" ca="1" si="38"/>
        <v>7.5656842105263156</v>
      </c>
      <c r="M84">
        <f t="shared" ca="1" si="39"/>
        <v>5.8157192982456136</v>
      </c>
      <c r="N84">
        <f t="shared" ca="1" si="40"/>
        <v>4.0657543859649117</v>
      </c>
      <c r="O84" s="265">
        <f t="shared" ca="1" si="29"/>
        <v>2.3157894736842106</v>
      </c>
      <c r="P84">
        <f t="shared" ca="1" si="41"/>
        <v>0.56582456140350912</v>
      </c>
      <c r="Q84">
        <f t="shared" ca="1" si="42"/>
        <v>0</v>
      </c>
      <c r="R84">
        <v>0</v>
      </c>
    </row>
    <row r="85" spans="1:152" x14ac:dyDescent="0.25"/>
    <row r="86" spans="1:152" x14ac:dyDescent="0.25"/>
    <row r="87" spans="1:152" x14ac:dyDescent="0.25"/>
    <row r="88" spans="1:152" x14ac:dyDescent="0.25"/>
    <row r="89" spans="1:152" x14ac:dyDescent="0.25"/>
    <row r="90" spans="1:152" x14ac:dyDescent="0.25"/>
    <row r="91" spans="1:152" x14ac:dyDescent="0.25"/>
    <row r="92" spans="1:152" x14ac:dyDescent="0.25"/>
    <row r="93" spans="1:152" x14ac:dyDescent="0.25"/>
    <row r="94" spans="1:152" x14ac:dyDescent="0.25"/>
    <row r="95" spans="1:152" x14ac:dyDescent="0.25"/>
    <row r="96" spans="1:152" x14ac:dyDescent="0.25"/>
    <row r="97" spans="1:152" x14ac:dyDescent="0.25"/>
    <row r="98" spans="1:152" x14ac:dyDescent="0.25"/>
    <row r="99" spans="1:152" x14ac:dyDescent="0.25"/>
    <row r="100" spans="1:152" x14ac:dyDescent="0.25"/>
    <row r="101" spans="1:152" x14ac:dyDescent="0.25"/>
    <row r="102" spans="1:152" x14ac:dyDescent="0.25"/>
    <row r="103" spans="1:152" x14ac:dyDescent="0.25"/>
    <row r="104" spans="1:152" x14ac:dyDescent="0.25"/>
    <row r="105" spans="1:152" x14ac:dyDescent="0.25"/>
    <row r="106" spans="1:152" x14ac:dyDescent="0.25"/>
    <row r="107" spans="1:152" x14ac:dyDescent="0.25"/>
    <row r="108" spans="1:152" x14ac:dyDescent="0.25"/>
    <row r="109" spans="1:152" x14ac:dyDescent="0.25"/>
    <row r="110" spans="1:152" x14ac:dyDescent="0.25"/>
    <row r="111" spans="1:152" x14ac:dyDescent="0.25"/>
    <row r="112" spans="1:152" x14ac:dyDescent="0.25"/>
    <row r="113" spans="1:152" x14ac:dyDescent="0.25"/>
    <row r="114" spans="1:152" x14ac:dyDescent="0.25"/>
    <row r="115" spans="1:152" x14ac:dyDescent="0.25"/>
    <row r="116" spans="1:152" x14ac:dyDescent="0.25"/>
    <row r="117" spans="1:152" x14ac:dyDescent="0.25"/>
    <row r="118" spans="1:152" x14ac:dyDescent="0.25"/>
    <row r="119" spans="1:152" x14ac:dyDescent="0.25"/>
    <row r="120" spans="1:152" x14ac:dyDescent="0.25"/>
    <row r="121" spans="1:152" x14ac:dyDescent="0.25"/>
    <row r="122" spans="1:152" x14ac:dyDescent="0.25"/>
    <row r="123" spans="1:152" x14ac:dyDescent="0.25"/>
    <row r="124" spans="1:152" x14ac:dyDescent="0.25"/>
    <row r="125" spans="1:152" x14ac:dyDescent="0.25"/>
    <row r="126" spans="1:152" x14ac:dyDescent="0.25"/>
    <row r="127" spans="1:152" x14ac:dyDescent="0.25"/>
    <row r="128" spans="1:152" x14ac:dyDescent="0.25"/>
    <row r="129" spans="1:152" x14ac:dyDescent="0.25"/>
    <row r="130" spans="1:152" x14ac:dyDescent="0.25"/>
    <row r="131" spans="1:152" x14ac:dyDescent="0.25"/>
    <row r="132" spans="1:152" x14ac:dyDescent="0.25"/>
    <row r="133" spans="1:152" x14ac:dyDescent="0.25"/>
    <row r="134" spans="1:152" x14ac:dyDescent="0.25"/>
    <row r="135" spans="1:152" x14ac:dyDescent="0.25"/>
    <row r="136" spans="1:152" x14ac:dyDescent="0.25"/>
    <row r="137" spans="1:152" x14ac:dyDescent="0.25"/>
    <row r="138" spans="1:152" x14ac:dyDescent="0.25"/>
    <row r="139" spans="1:152" x14ac:dyDescent="0.25"/>
    <row r="140" spans="1:152" x14ac:dyDescent="0.25"/>
    <row r="141" spans="1:152" x14ac:dyDescent="0.25"/>
    <row r="142" spans="1:152" x14ac:dyDescent="0.25"/>
    <row r="143" spans="1:152" x14ac:dyDescent="0.25"/>
    <row r="144" spans="1:152" x14ac:dyDescent="0.25"/>
    <row r="145" spans="1:152" x14ac:dyDescent="0.25"/>
    <row r="146" spans="1:152" x14ac:dyDescent="0.25"/>
    <row r="147" spans="1:152" x14ac:dyDescent="0.25"/>
    <row r="148" spans="1:152" x14ac:dyDescent="0.25"/>
    <row r="149" spans="1:152" x14ac:dyDescent="0.25"/>
    <row r="150" spans="1:152" x14ac:dyDescent="0.25"/>
    <row r="151" spans="1:152" x14ac:dyDescent="0.25"/>
    <row r="152" spans="1:152" x14ac:dyDescent="0.25"/>
    <row r="153" spans="1:152" x14ac:dyDescent="0.25"/>
    <row r="154" spans="1:152" x14ac:dyDescent="0.25"/>
    <row r="155" spans="1:152" x14ac:dyDescent="0.25"/>
    <row r="156" spans="1:152" x14ac:dyDescent="0.25"/>
    <row r="157" spans="1:152" x14ac:dyDescent="0.25"/>
    <row r="158" spans="1:152" x14ac:dyDescent="0.25"/>
    <row r="159" spans="1:152" x14ac:dyDescent="0.25"/>
    <row r="160" spans="1:152" x14ac:dyDescent="0.25"/>
    <row r="161" spans="1:152" x14ac:dyDescent="0.25"/>
    <row r="162" spans="1:152" x14ac:dyDescent="0.25"/>
    <row r="163" spans="1:152" x14ac:dyDescent="0.25"/>
    <row r="164" spans="1:152" x14ac:dyDescent="0.25"/>
    <row r="165" spans="1:152" x14ac:dyDescent="0.25"/>
    <row r="166" spans="1:152" x14ac:dyDescent="0.25"/>
    <row r="167" spans="1:152" x14ac:dyDescent="0.25"/>
    <row r="168" spans="1:152" x14ac:dyDescent="0.25"/>
    <row r="169" spans="1:152" x14ac:dyDescent="0.25"/>
    <row r="170" spans="1:152" x14ac:dyDescent="0.25"/>
    <row r="171" spans="1:152" x14ac:dyDescent="0.25"/>
    <row r="172" spans="1:152" x14ac:dyDescent="0.25"/>
    <row r="173" spans="1:152" x14ac:dyDescent="0.25"/>
    <row r="174" spans="1:152" x14ac:dyDescent="0.25"/>
    <row r="175" spans="1:152" x14ac:dyDescent="0.25"/>
    <row r="176" spans="1:152" x14ac:dyDescent="0.25"/>
    <row r="177" spans="1:152" x14ac:dyDescent="0.25"/>
    <row r="178" spans="1:152" x14ac:dyDescent="0.25"/>
    <row r="179" spans="1:152" x14ac:dyDescent="0.25"/>
    <row r="180" spans="1:152" x14ac:dyDescent="0.25"/>
    <row r="181" spans="1:152" x14ac:dyDescent="0.25"/>
    <row r="182" spans="1:152" x14ac:dyDescent="0.25"/>
    <row r="183" spans="1:152" x14ac:dyDescent="0.25"/>
    <row r="184" spans="1:152" x14ac:dyDescent="0.25"/>
    <row r="185" spans="1:152" x14ac:dyDescent="0.25"/>
    <row r="186" spans="1:152" x14ac:dyDescent="0.25"/>
    <row r="187" spans="1:152" x14ac:dyDescent="0.25"/>
    <row r="188" spans="1:152" x14ac:dyDescent="0.25"/>
    <row r="189" spans="1:152" x14ac:dyDescent="0.25"/>
    <row r="190" spans="1:152" x14ac:dyDescent="0.25"/>
    <row r="191" spans="1:152" x14ac:dyDescent="0.25"/>
    <row r="192" spans="1:152" x14ac:dyDescent="0.25"/>
    <row r="193" spans="1:152" x14ac:dyDescent="0.25"/>
    <row r="194" spans="1:152" x14ac:dyDescent="0.25"/>
    <row r="195" spans="1:152" x14ac:dyDescent="0.25"/>
    <row r="196" spans="1:152" x14ac:dyDescent="0.25"/>
    <row r="197" spans="1:152" x14ac:dyDescent="0.25"/>
    <row r="198" spans="1:152" x14ac:dyDescent="0.25"/>
    <row r="199" spans="1:152" x14ac:dyDescent="0.25"/>
  </sheetData>
  <pageMargins left="0.7" right="0.7" top="0.75" bottom="0.75" header="0.3" footer="0.3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selection activeCell="E23" sqref="E23"/>
    </sheetView>
  </sheetViews>
  <sheetFormatPr defaultRowHeight="15.75" x14ac:dyDescent="0.25"/>
  <cols>
    <col min="1" max="1" width="17.625" customWidth="1"/>
    <col min="3" max="3" width="29.75" customWidth="1"/>
    <col min="4" max="4" width="31.625" customWidth="1"/>
    <col min="5" max="5" width="19.375" customWidth="1"/>
  </cols>
  <sheetData>
    <row r="1" spans="1:4" x14ac:dyDescent="0.25">
      <c r="A1" s="19" t="s">
        <v>234</v>
      </c>
      <c r="B1" t="s">
        <v>329</v>
      </c>
      <c r="D1" s="20"/>
    </row>
    <row r="2" spans="1:4" x14ac:dyDescent="0.25">
      <c r="A2" s="20">
        <f>Whipples!G45</f>
        <v>41830</v>
      </c>
      <c r="B2" s="9">
        <f>Whipples!DR45</f>
        <v>0</v>
      </c>
      <c r="D2" s="20"/>
    </row>
    <row r="3" spans="1:4" x14ac:dyDescent="0.25">
      <c r="A3" s="20">
        <f>Whipples!G46</f>
        <v>41858</v>
      </c>
      <c r="B3" s="9">
        <f>Whipples!DR46</f>
        <v>0</v>
      </c>
      <c r="D3" s="20"/>
    </row>
    <row r="4" spans="1:4" x14ac:dyDescent="0.25">
      <c r="A4" s="20">
        <f>Whipples!G47</f>
        <v>41873</v>
      </c>
      <c r="B4" s="9">
        <f>Whipples!DR47</f>
        <v>5</v>
      </c>
      <c r="D4" s="20"/>
    </row>
    <row r="5" spans="1:4" x14ac:dyDescent="0.25">
      <c r="A5" s="20">
        <f>Whipples!G48</f>
        <v>41880</v>
      </c>
      <c r="B5" s="9">
        <f>Whipples!DR48</f>
        <v>0</v>
      </c>
      <c r="D5" s="20"/>
    </row>
    <row r="6" spans="1:4" x14ac:dyDescent="0.25">
      <c r="A6" s="20">
        <f>Whipples!G49</f>
        <v>41886</v>
      </c>
      <c r="B6" s="9">
        <f>Whipples!DR49</f>
        <v>0</v>
      </c>
      <c r="D6" s="20"/>
    </row>
    <row r="7" spans="1:4" x14ac:dyDescent="0.25">
      <c r="A7" s="20">
        <f>Whipples!G50</f>
        <v>41887</v>
      </c>
      <c r="B7" s="9">
        <f>Whipples!DR50</f>
        <v>0</v>
      </c>
      <c r="D7" s="20"/>
    </row>
    <row r="8" spans="1:4" x14ac:dyDescent="0.25">
      <c r="A8" s="20">
        <f>Whipples!G51</f>
        <v>41893</v>
      </c>
      <c r="B8" s="9">
        <f>Whipples!DR51</f>
        <v>0</v>
      </c>
      <c r="D8" s="20"/>
    </row>
    <row r="9" spans="1:4" x14ac:dyDescent="0.25">
      <c r="A9" s="20">
        <f>Whipples!G52</f>
        <v>41914</v>
      </c>
      <c r="B9" s="9">
        <f>Whipples!DR52</f>
        <v>6</v>
      </c>
      <c r="D9" s="20"/>
    </row>
    <row r="10" spans="1:4" x14ac:dyDescent="0.25">
      <c r="A10" s="20">
        <f>Whipples!G53</f>
        <v>41921</v>
      </c>
      <c r="B10" s="9">
        <f>Whipples!DR53</f>
        <v>2</v>
      </c>
      <c r="D10" s="20"/>
    </row>
    <row r="11" spans="1:4" x14ac:dyDescent="0.25">
      <c r="A11" s="20">
        <f>Whipples!G54</f>
        <v>41922</v>
      </c>
      <c r="B11" s="9">
        <f>Whipples!DR54</f>
        <v>10</v>
      </c>
      <c r="D11" s="20"/>
    </row>
    <row r="12" spans="1:4" x14ac:dyDescent="0.25">
      <c r="A12" s="20">
        <f>Whipples!G55</f>
        <v>41928</v>
      </c>
      <c r="B12" s="9">
        <f>Whipples!DR55</f>
        <v>0</v>
      </c>
      <c r="D12" s="20"/>
    </row>
    <row r="13" spans="1:4" x14ac:dyDescent="0.25">
      <c r="A13" s="20">
        <f>Whipples!G57</f>
        <v>41977</v>
      </c>
      <c r="B13" s="9">
        <f>Whipples!DR57</f>
        <v>4</v>
      </c>
      <c r="D13" s="20"/>
    </row>
    <row r="14" spans="1:4" x14ac:dyDescent="0.25">
      <c r="A14" s="20">
        <f>Whipples!G58</f>
        <v>42006</v>
      </c>
      <c r="B14" s="9">
        <f>Whipples!DR58</f>
        <v>0</v>
      </c>
      <c r="D14" s="20"/>
    </row>
    <row r="15" spans="1:4" x14ac:dyDescent="0.25">
      <c r="A15" s="20">
        <f>Whipples!G59</f>
        <v>42027</v>
      </c>
      <c r="B15" s="9">
        <f>Whipples!DR59</f>
        <v>8</v>
      </c>
    </row>
    <row r="16" spans="1:4" x14ac:dyDescent="0.25">
      <c r="A16" s="20">
        <f>Whipples!G60</f>
        <v>42033</v>
      </c>
      <c r="B16" s="9">
        <f>Whipples!DR60</f>
        <v>5</v>
      </c>
    </row>
    <row r="17" spans="1:4" x14ac:dyDescent="0.25">
      <c r="A17" s="20">
        <f>Whipples!G61</f>
        <v>42034</v>
      </c>
      <c r="B17" s="9">
        <f>Whipples!DR61</f>
        <v>0</v>
      </c>
    </row>
    <row r="18" spans="1:4" x14ac:dyDescent="0.25">
      <c r="A18" s="20">
        <f>Whipples!G62</f>
        <v>42040</v>
      </c>
      <c r="B18" s="9">
        <f>Whipples!DR62</f>
        <v>0</v>
      </c>
    </row>
    <row r="19" spans="1:4" x14ac:dyDescent="0.25">
      <c r="A19" s="20">
        <f>Whipples!G63</f>
        <v>42075</v>
      </c>
      <c r="B19" s="9">
        <f>Whipples!DR63</f>
        <v>0</v>
      </c>
    </row>
    <row r="20" spans="1:4" x14ac:dyDescent="0.25">
      <c r="A20" s="20">
        <f>Whipples!G64</f>
        <v>42111</v>
      </c>
      <c r="B20" s="9">
        <f>Whipples!DR64</f>
        <v>0</v>
      </c>
    </row>
    <row r="21" spans="1:4" x14ac:dyDescent="0.25">
      <c r="A21" s="20"/>
    </row>
    <row r="27" spans="1:4" x14ac:dyDescent="0.25">
      <c r="A27" s="20"/>
    </row>
    <row r="30" spans="1:4" ht="21" x14ac:dyDescent="0.35">
      <c r="C30" s="144" t="s">
        <v>253</v>
      </c>
      <c r="D30" s="144"/>
    </row>
    <row r="31" spans="1:4" ht="21" x14ac:dyDescent="0.35">
      <c r="C31" s="158" t="s">
        <v>237</v>
      </c>
      <c r="D31" s="159">
        <f ca="1">INDIRECT("A"&amp;COUNTA(A:A))</f>
        <v>42111</v>
      </c>
    </row>
    <row r="32" spans="1:4" ht="21" x14ac:dyDescent="0.35">
      <c r="C32" s="146" t="s">
        <v>216</v>
      </c>
      <c r="D32" s="162">
        <f>COUNTA(Whipples!$C$45:$C$999)</f>
        <v>20</v>
      </c>
    </row>
    <row r="33" spans="3:4" ht="21" x14ac:dyDescent="0.35">
      <c r="C33" s="146" t="s">
        <v>146</v>
      </c>
      <c r="D33" s="163">
        <f>AVERAGE(Whipples!$DR$45:$DR$115)</f>
        <v>2.4210526315789473</v>
      </c>
    </row>
    <row r="34" spans="3:4" ht="21" x14ac:dyDescent="0.35">
      <c r="C34" s="146" t="s">
        <v>147</v>
      </c>
      <c r="D34" s="162">
        <f>MEDIAN(Whipples!$DR$45:$DR$999)</f>
        <v>0</v>
      </c>
    </row>
    <row r="35" spans="3:4" ht="21" x14ac:dyDescent="0.35">
      <c r="C35" s="146" t="s">
        <v>236</v>
      </c>
      <c r="D35" s="172">
        <f>STDEV(Whipples!$DR$45:$DR$115)</f>
        <v>3.2882921854780522</v>
      </c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B19" sqref="B19"/>
    </sheetView>
  </sheetViews>
  <sheetFormatPr defaultRowHeight="15.75" x14ac:dyDescent="0.25"/>
  <cols>
    <col min="1" max="1" width="17.625" customWidth="1"/>
    <col min="2" max="2" width="14.25" customWidth="1"/>
    <col min="4" max="4" width="29.5" customWidth="1"/>
    <col min="5" max="5" width="26.125" customWidth="1"/>
    <col min="6" max="6" width="19.375" customWidth="1"/>
  </cols>
  <sheetData>
    <row r="1" spans="1:6" x14ac:dyDescent="0.25">
      <c r="A1" s="19" t="s">
        <v>234</v>
      </c>
      <c r="B1" s="19" t="s">
        <v>235</v>
      </c>
      <c r="D1" s="20"/>
      <c r="E1" s="20"/>
      <c r="F1" s="9"/>
    </row>
    <row r="2" spans="1:6" x14ac:dyDescent="0.25">
      <c r="A2" s="20">
        <f>distals!G20</f>
        <v>41830</v>
      </c>
      <c r="B2" s="9">
        <f>distals!DR20</f>
        <v>6</v>
      </c>
      <c r="D2" s="20"/>
      <c r="E2" s="20"/>
      <c r="F2" s="9"/>
    </row>
    <row r="3" spans="1:6" x14ac:dyDescent="0.25">
      <c r="A3" s="20">
        <f>distals!G21</f>
        <v>41844</v>
      </c>
      <c r="B3" s="9">
        <f>distals!DR21</f>
        <v>4</v>
      </c>
      <c r="D3" s="20"/>
      <c r="E3" s="20"/>
      <c r="F3" s="9"/>
    </row>
    <row r="4" spans="1:6" x14ac:dyDescent="0.25">
      <c r="A4" s="20">
        <f>distals!G22</f>
        <v>41844</v>
      </c>
      <c r="B4" s="9">
        <f>distals!DR22</f>
        <v>0</v>
      </c>
      <c r="D4" s="20"/>
      <c r="E4" s="20"/>
      <c r="F4" s="9"/>
    </row>
    <row r="5" spans="1:6" x14ac:dyDescent="0.25">
      <c r="A5" s="20">
        <f>distals!G23</f>
        <v>41851</v>
      </c>
      <c r="B5" s="9">
        <f>distals!DR23</f>
        <v>0</v>
      </c>
      <c r="D5" s="20"/>
      <c r="E5" s="20"/>
      <c r="F5" s="9"/>
    </row>
    <row r="6" spans="1:6" x14ac:dyDescent="0.25">
      <c r="A6" s="20">
        <f>distals!G25</f>
        <v>41907</v>
      </c>
      <c r="B6" s="9">
        <f>distals!DR25</f>
        <v>0</v>
      </c>
      <c r="D6" s="20"/>
      <c r="E6" s="20"/>
      <c r="F6" s="9"/>
    </row>
    <row r="7" spans="1:6" x14ac:dyDescent="0.25">
      <c r="A7" s="20">
        <f>distals!G26</f>
        <v>41935</v>
      </c>
      <c r="B7" s="9">
        <f>distals!DR26</f>
        <v>8</v>
      </c>
      <c r="D7" s="20"/>
      <c r="E7" s="20"/>
      <c r="F7" s="9"/>
    </row>
    <row r="8" spans="1:6" x14ac:dyDescent="0.25">
      <c r="A8" s="20">
        <f>distals!G27</f>
        <v>41935</v>
      </c>
      <c r="B8" s="9">
        <f>distals!DR27</f>
        <v>8</v>
      </c>
      <c r="D8" s="20"/>
      <c r="E8" s="20"/>
      <c r="F8" s="9"/>
    </row>
    <row r="9" spans="1:6" x14ac:dyDescent="0.25">
      <c r="A9" s="20">
        <f>distals!G28</f>
        <v>41943</v>
      </c>
      <c r="B9" s="9">
        <f>distals!DR28</f>
        <v>5</v>
      </c>
      <c r="D9" s="20"/>
      <c r="E9" s="20"/>
      <c r="F9" s="9"/>
    </row>
    <row r="10" spans="1:6" x14ac:dyDescent="0.25">
      <c r="A10" s="20">
        <f>distals!G29</f>
        <v>41949</v>
      </c>
      <c r="B10" s="9">
        <f>distals!DR29</f>
        <v>8</v>
      </c>
      <c r="D10" s="20"/>
      <c r="E10" s="20"/>
      <c r="F10" s="9"/>
    </row>
    <row r="11" spans="1:6" x14ac:dyDescent="0.25">
      <c r="A11" s="20">
        <f>distals!G30</f>
        <v>41963</v>
      </c>
      <c r="B11" s="9">
        <f>distals!DR30</f>
        <v>0</v>
      </c>
      <c r="D11" s="20"/>
      <c r="E11" s="20"/>
      <c r="F11" s="9"/>
    </row>
    <row r="12" spans="1:6" x14ac:dyDescent="0.25">
      <c r="A12" s="20">
        <f>distals!G32</f>
        <v>41984</v>
      </c>
      <c r="B12" s="9">
        <f>distals!DR32</f>
        <v>0</v>
      </c>
      <c r="D12" s="20"/>
      <c r="E12" s="20"/>
      <c r="F12" s="9"/>
    </row>
    <row r="13" spans="1:6" x14ac:dyDescent="0.25">
      <c r="A13" s="20">
        <f>distals!G33</f>
        <v>42019</v>
      </c>
      <c r="B13" s="9">
        <f>distals!DR33</f>
        <v>2</v>
      </c>
      <c r="D13" s="20"/>
      <c r="E13" s="20"/>
      <c r="F13" s="9"/>
    </row>
    <row r="14" spans="1:6" x14ac:dyDescent="0.25">
      <c r="A14" s="20">
        <f>distals!G34</f>
        <v>42041</v>
      </c>
      <c r="B14" s="9">
        <f>distals!DR34</f>
        <v>8</v>
      </c>
      <c r="D14" s="20"/>
      <c r="E14" s="20"/>
      <c r="F14" s="9"/>
    </row>
    <row r="15" spans="1:6" x14ac:dyDescent="0.25">
      <c r="A15" s="20">
        <f>distals!G35</f>
        <v>42061</v>
      </c>
      <c r="B15" s="9">
        <f>distals!DR35</f>
        <v>10</v>
      </c>
    </row>
    <row r="16" spans="1:6" x14ac:dyDescent="0.25">
      <c r="A16" s="20">
        <f>distals!G36</f>
        <v>42068</v>
      </c>
      <c r="B16" s="9">
        <f>distals!DR36</f>
        <v>0</v>
      </c>
    </row>
    <row r="17" spans="1:5" x14ac:dyDescent="0.25">
      <c r="A17" s="20">
        <f>distals!G37</f>
        <v>42082</v>
      </c>
      <c r="B17" s="9">
        <f>distals!DR37</f>
        <v>0</v>
      </c>
    </row>
    <row r="18" spans="1:5" x14ac:dyDescent="0.25">
      <c r="A18" s="20">
        <f>distals!G38</f>
        <v>42110</v>
      </c>
      <c r="B18" s="9">
        <f>distals!DR38</f>
        <v>0</v>
      </c>
    </row>
    <row r="19" spans="1:5" x14ac:dyDescent="0.25">
      <c r="A19" s="20"/>
    </row>
    <row r="27" spans="1:5" x14ac:dyDescent="0.25">
      <c r="A27" s="20"/>
    </row>
    <row r="30" spans="1:5" ht="21" x14ac:dyDescent="0.35">
      <c r="D30" s="144" t="s">
        <v>343</v>
      </c>
      <c r="E30" s="144"/>
    </row>
    <row r="31" spans="1:5" ht="21" x14ac:dyDescent="0.35">
      <c r="D31" s="158" t="s">
        <v>237</v>
      </c>
      <c r="E31" s="159">
        <f ca="1">INDIRECT("A"&amp;COUNTA(A:A))</f>
        <v>42110</v>
      </c>
    </row>
    <row r="32" spans="1:5" ht="21" x14ac:dyDescent="0.35">
      <c r="D32" s="146" t="s">
        <v>216</v>
      </c>
      <c r="E32" s="162">
        <f>COUNTA(distals!$C$20:$C$1000)</f>
        <v>19</v>
      </c>
    </row>
    <row r="33" spans="4:5" ht="21" x14ac:dyDescent="0.35">
      <c r="D33" s="146" t="s">
        <v>146</v>
      </c>
      <c r="E33" s="163">
        <f>AVERAGE(distals!$DR$20:$DR$116)</f>
        <v>4.4375</v>
      </c>
    </row>
    <row r="34" spans="4:5" ht="21" x14ac:dyDescent="0.35">
      <c r="D34" s="146" t="s">
        <v>147</v>
      </c>
      <c r="E34" s="162">
        <f>MEDIAN(Whipples!$DR$20:$DR$115)</f>
        <v>0</v>
      </c>
    </row>
    <row r="35" spans="4:5" ht="21" x14ac:dyDescent="0.35">
      <c r="D35" s="146" t="s">
        <v>236</v>
      </c>
      <c r="E35" s="172">
        <f>STDEV(Whipples!$DR$20:$DR$115)</f>
        <v>3.2491024401620008</v>
      </c>
    </row>
  </sheetData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L42" sqref="L42"/>
    </sheetView>
  </sheetViews>
  <sheetFormatPr defaultRowHeight="15.75" x14ac:dyDescent="0.25"/>
  <cols>
    <col min="2" max="2" width="11.25" customWidth="1"/>
  </cols>
  <sheetData>
    <row r="1" spans="1:3" x14ac:dyDescent="0.25">
      <c r="A1" t="s">
        <v>232</v>
      </c>
    </row>
    <row r="2" spans="1:3" x14ac:dyDescent="0.25">
      <c r="A2" t="s">
        <v>231</v>
      </c>
      <c r="C2" s="18">
        <f>Stats!D17</f>
        <v>6</v>
      </c>
    </row>
    <row r="3" spans="1:3" x14ac:dyDescent="0.25">
      <c r="A3" t="s">
        <v>230</v>
      </c>
      <c r="C3" s="18">
        <f>Stats!D8</f>
        <v>7</v>
      </c>
    </row>
    <row r="4" spans="1:3" x14ac:dyDescent="0.25">
      <c r="A4" t="s">
        <v>225</v>
      </c>
      <c r="C4">
        <v>7</v>
      </c>
    </row>
    <row r="5" spans="1:3" x14ac:dyDescent="0.25">
      <c r="A5" t="s">
        <v>221</v>
      </c>
      <c r="C5">
        <v>8</v>
      </c>
    </row>
    <row r="6" spans="1:3" x14ac:dyDescent="0.25">
      <c r="A6" t="s">
        <v>222</v>
      </c>
      <c r="C6">
        <v>8</v>
      </c>
    </row>
    <row r="7" spans="1:3" x14ac:dyDescent="0.25">
      <c r="A7" t="s">
        <v>228</v>
      </c>
      <c r="C7">
        <v>8</v>
      </c>
    </row>
    <row r="8" spans="1:3" x14ac:dyDescent="0.25">
      <c r="A8" t="s">
        <v>223</v>
      </c>
      <c r="C8">
        <v>10</v>
      </c>
    </row>
    <row r="9" spans="1:3" x14ac:dyDescent="0.25">
      <c r="A9" t="s">
        <v>224</v>
      </c>
      <c r="C9">
        <v>10</v>
      </c>
    </row>
    <row r="10" spans="1:3" x14ac:dyDescent="0.25">
      <c r="A10" t="s">
        <v>227</v>
      </c>
      <c r="C10">
        <v>10</v>
      </c>
    </row>
    <row r="11" spans="1:3" x14ac:dyDescent="0.25">
      <c r="A11" t="s">
        <v>229</v>
      </c>
      <c r="C11">
        <v>12</v>
      </c>
    </row>
    <row r="12" spans="1:3" x14ac:dyDescent="0.25">
      <c r="A12" t="s">
        <v>226</v>
      </c>
      <c r="C12">
        <v>13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D199"/>
  <sheetViews>
    <sheetView zoomScale="70" zoomScaleNormal="70" workbookViewId="0">
      <pane xSplit="1" topLeftCell="ES1" activePane="topRight" state="frozen"/>
      <selection activeCell="A16" sqref="A16"/>
      <selection pane="topRight" activeCell="FB1" activeCellId="1" sqref="G1:G1048576 FB1:FB1048576"/>
    </sheetView>
  </sheetViews>
  <sheetFormatPr defaultColWidth="11" defaultRowHeight="15.75" x14ac:dyDescent="0.25"/>
  <cols>
    <col min="1" max="1" width="20.375" style="114" customWidth="1"/>
    <col min="2" max="3" width="15.875" style="8" customWidth="1"/>
    <col min="4" max="4" width="11" style="1" customWidth="1"/>
    <col min="5" max="6" width="11" style="1"/>
    <col min="7" max="7" width="13.625" style="3" customWidth="1"/>
    <col min="8" max="8" width="11" style="1"/>
    <col min="9" max="9" width="11" style="4"/>
    <col min="10" max="10" width="19.375" style="1" customWidth="1"/>
    <col min="11" max="11" width="11" style="1"/>
    <col min="12" max="12" width="13.875" style="1" customWidth="1"/>
    <col min="13" max="29" width="11" style="1"/>
    <col min="30" max="30" width="13.375" style="1" customWidth="1"/>
    <col min="31" max="31" width="12.75" style="1" customWidth="1"/>
    <col min="32" max="32" width="11" style="1"/>
    <col min="33" max="33" width="12.875" style="1" customWidth="1"/>
    <col min="34" max="34" width="12.75" style="1" customWidth="1"/>
    <col min="35" max="35" width="8.75" style="1" customWidth="1"/>
    <col min="36" max="36" width="7.875" style="1" customWidth="1"/>
    <col min="37" max="37" width="11" style="1"/>
    <col min="38" max="38" width="9.875" style="1" customWidth="1"/>
    <col min="39" max="39" width="8.75" style="1" customWidth="1"/>
    <col min="40" max="40" width="9.875" style="1" customWidth="1"/>
    <col min="41" max="41" width="12.375" style="1" customWidth="1"/>
    <col min="42" max="44" width="11" style="1"/>
    <col min="45" max="45" width="15" style="1" customWidth="1"/>
    <col min="46" max="48" width="14.875" style="1" customWidth="1"/>
    <col min="49" max="49" width="19.75" style="1" customWidth="1"/>
    <col min="50" max="50" width="14.875" style="1" customWidth="1"/>
    <col min="51" max="51" width="13.625" style="1" customWidth="1"/>
    <col min="52" max="52" width="11.875" style="1" customWidth="1"/>
    <col min="53" max="53" width="11" style="1"/>
    <col min="54" max="54" width="10.25" style="1" customWidth="1"/>
    <col min="55" max="55" width="11" style="47"/>
    <col min="56" max="76" width="11" style="1"/>
    <col min="77" max="77" width="16.75" style="1" customWidth="1"/>
    <col min="78" max="78" width="28.375" style="1" customWidth="1"/>
    <col min="79" max="79" width="19.25" style="1" customWidth="1"/>
    <col min="80" max="90" width="11" style="1"/>
    <col min="91" max="91" width="20.375" style="1" customWidth="1"/>
    <col min="92" max="92" width="19.625" style="1" customWidth="1"/>
    <col min="93" max="93" width="21.125" style="1" customWidth="1"/>
    <col min="94" max="94" width="11" style="1"/>
    <col min="95" max="95" width="16.125" style="1" customWidth="1"/>
    <col min="96" max="96" width="22.75" style="1" customWidth="1"/>
    <col min="97" max="97" width="22.875" style="1" customWidth="1"/>
    <col min="98" max="98" width="11" style="1"/>
    <col min="99" max="99" width="5.5" style="1" customWidth="1"/>
    <col min="100" max="100" width="15.25" style="1" customWidth="1"/>
    <col min="101" max="101" width="9.375" style="1" customWidth="1"/>
    <col min="102" max="102" width="14.875" style="1" customWidth="1"/>
    <col min="103" max="104" width="12.625" style="1" customWidth="1"/>
    <col min="105" max="105" width="20.375" style="1" customWidth="1"/>
    <col min="106" max="106" width="21.125" style="1" customWidth="1"/>
    <col min="107" max="107" width="15.375" style="1" customWidth="1"/>
    <col min="108" max="108" width="14.5" style="1" customWidth="1"/>
    <col min="109" max="109" width="18.875" style="1" customWidth="1"/>
    <col min="110" max="110" width="16.875" style="1" customWidth="1"/>
    <col min="111" max="111" width="15.25" style="1" customWidth="1"/>
    <col min="112" max="112" width="13.375" style="1" customWidth="1"/>
    <col min="113" max="113" width="19.125" style="1" customWidth="1"/>
    <col min="114" max="117" width="13.375" style="1" customWidth="1"/>
    <col min="118" max="118" width="16.75" style="1" customWidth="1"/>
    <col min="119" max="119" width="21.375" style="1" customWidth="1"/>
    <col min="120" max="120" width="20.625" style="1" customWidth="1"/>
    <col min="121" max="121" width="21" style="1" customWidth="1"/>
    <col min="122" max="122" width="14.875" style="1" customWidth="1"/>
    <col min="123" max="123" width="22.625" style="1" customWidth="1"/>
    <col min="124" max="124" width="21.875" style="9" customWidth="1"/>
    <col min="125" max="125" width="22" style="9" customWidth="1"/>
    <col min="126" max="126" width="22.25" style="9" customWidth="1"/>
    <col min="127" max="127" width="22" style="9" customWidth="1"/>
    <col min="128" max="128" width="22.5" style="9" customWidth="1"/>
    <col min="129" max="129" width="15.5" style="1" customWidth="1"/>
    <col min="130" max="131" width="14.625" style="1" customWidth="1"/>
    <col min="132" max="132" width="15" style="1" customWidth="1"/>
    <col min="133" max="133" width="14.875" style="125" customWidth="1"/>
    <col min="134" max="135" width="14.75" style="1" customWidth="1"/>
    <col min="136" max="143" width="14.375" style="1" customWidth="1"/>
    <col min="144" max="144" width="14" style="1" customWidth="1"/>
    <col min="145" max="145" width="19.25" style="1" customWidth="1"/>
    <col min="146" max="146" width="18.375" style="1" customWidth="1"/>
    <col min="147" max="147" width="18.5" style="1" customWidth="1"/>
    <col min="148" max="148" width="18.25" style="1" customWidth="1"/>
    <col min="149" max="149" width="19" style="1" customWidth="1"/>
    <col min="150" max="156" width="16.5" style="1" customWidth="1"/>
    <col min="157" max="157" width="18.625" style="1" customWidth="1"/>
    <col min="158" max="158" width="18.5" style="1" customWidth="1"/>
    <col min="159" max="186" width="11" style="1"/>
  </cols>
  <sheetData>
    <row r="1" spans="1:186" s="26" customFormat="1" x14ac:dyDescent="0.25">
      <c r="A1" s="82" t="s">
        <v>209</v>
      </c>
      <c r="B1" s="83" t="s">
        <v>158</v>
      </c>
      <c r="C1" s="83" t="s">
        <v>145</v>
      </c>
      <c r="D1" s="84" t="s">
        <v>143</v>
      </c>
      <c r="E1" s="83" t="s">
        <v>0</v>
      </c>
      <c r="F1" s="83" t="s">
        <v>142</v>
      </c>
      <c r="G1" s="134" t="s">
        <v>367</v>
      </c>
      <c r="H1" s="84" t="s">
        <v>118</v>
      </c>
      <c r="I1" s="85" t="s">
        <v>119</v>
      </c>
      <c r="J1" s="84" t="s">
        <v>121</v>
      </c>
      <c r="K1" s="84" t="s">
        <v>1</v>
      </c>
      <c r="L1" s="86" t="s">
        <v>2</v>
      </c>
      <c r="M1" s="86" t="s">
        <v>3</v>
      </c>
      <c r="N1" s="86" t="s">
        <v>4</v>
      </c>
      <c r="O1" s="86" t="s">
        <v>5</v>
      </c>
      <c r="P1" s="86" t="s">
        <v>6</v>
      </c>
      <c r="Q1" s="86" t="s">
        <v>7</v>
      </c>
      <c r="R1" s="86" t="s">
        <v>33</v>
      </c>
      <c r="S1" s="86" t="s">
        <v>34</v>
      </c>
      <c r="T1" s="86" t="s">
        <v>8</v>
      </c>
      <c r="U1" s="86" t="s">
        <v>35</v>
      </c>
      <c r="V1" s="86" t="s">
        <v>36</v>
      </c>
      <c r="W1" s="86" t="s">
        <v>9</v>
      </c>
      <c r="X1" s="86" t="s">
        <v>37</v>
      </c>
      <c r="Y1" s="86" t="s">
        <v>38</v>
      </c>
      <c r="Z1" s="86" t="s">
        <v>10</v>
      </c>
      <c r="AA1" s="86" t="s">
        <v>39</v>
      </c>
      <c r="AB1" s="86" t="s">
        <v>40</v>
      </c>
      <c r="AC1" s="86" t="s">
        <v>11</v>
      </c>
      <c r="AD1" s="86" t="s">
        <v>41</v>
      </c>
      <c r="AE1" s="86" t="s">
        <v>42</v>
      </c>
      <c r="AF1" s="86" t="s">
        <v>43</v>
      </c>
      <c r="AG1" s="86" t="s">
        <v>44</v>
      </c>
      <c r="AH1" s="86" t="s">
        <v>45</v>
      </c>
      <c r="AI1" s="86" t="s">
        <v>12</v>
      </c>
      <c r="AJ1" s="86" t="s">
        <v>13</v>
      </c>
      <c r="AK1" s="86" t="s">
        <v>14</v>
      </c>
      <c r="AL1" s="86" t="s">
        <v>15</v>
      </c>
      <c r="AM1" s="86" t="s">
        <v>16</v>
      </c>
      <c r="AN1" s="86" t="s">
        <v>17</v>
      </c>
      <c r="AO1" s="86" t="s">
        <v>116</v>
      </c>
      <c r="AP1" s="87" t="s">
        <v>20</v>
      </c>
      <c r="AQ1" s="87" t="s">
        <v>21</v>
      </c>
      <c r="AR1" s="84" t="s">
        <v>22</v>
      </c>
      <c r="AS1" s="84" t="s">
        <v>122</v>
      </c>
      <c r="AT1" s="84" t="s">
        <v>123</v>
      </c>
      <c r="AU1" s="88" t="s">
        <v>154</v>
      </c>
      <c r="AV1" s="88" t="s">
        <v>153</v>
      </c>
      <c r="AW1" s="89" t="s">
        <v>152</v>
      </c>
      <c r="AX1" s="89" t="s">
        <v>139</v>
      </c>
      <c r="AY1" s="87" t="s">
        <v>18</v>
      </c>
      <c r="AZ1" s="87" t="s">
        <v>19</v>
      </c>
      <c r="BA1" s="87" t="s">
        <v>23</v>
      </c>
      <c r="BB1" s="90" t="s">
        <v>24</v>
      </c>
      <c r="BC1" s="90" t="s">
        <v>25</v>
      </c>
      <c r="BD1" s="90" t="s">
        <v>26</v>
      </c>
      <c r="BE1" s="90" t="s">
        <v>27</v>
      </c>
      <c r="BF1" s="90" t="s">
        <v>28</v>
      </c>
      <c r="BG1" s="90" t="s">
        <v>114</v>
      </c>
      <c r="BH1" s="90" t="s">
        <v>115</v>
      </c>
      <c r="BI1" s="90" t="s">
        <v>29</v>
      </c>
      <c r="BJ1" s="90" t="s">
        <v>30</v>
      </c>
      <c r="BK1" s="90" t="s">
        <v>31</v>
      </c>
      <c r="BL1" s="90" t="s">
        <v>125</v>
      </c>
      <c r="BM1" s="90" t="s">
        <v>124</v>
      </c>
      <c r="BN1" s="90" t="s">
        <v>32</v>
      </c>
      <c r="BO1" s="83" t="s">
        <v>46</v>
      </c>
      <c r="BP1" s="90" t="s">
        <v>47</v>
      </c>
      <c r="BQ1" s="90" t="s">
        <v>48</v>
      </c>
      <c r="BR1" s="90" t="s">
        <v>117</v>
      </c>
      <c r="BS1" s="90" t="s">
        <v>49</v>
      </c>
      <c r="BT1" s="90" t="s">
        <v>50</v>
      </c>
      <c r="BU1" s="90" t="s">
        <v>51</v>
      </c>
      <c r="BV1" s="90" t="s">
        <v>52</v>
      </c>
      <c r="BW1" s="90" t="s">
        <v>53</v>
      </c>
      <c r="BX1" s="90" t="s">
        <v>54</v>
      </c>
      <c r="BY1" s="91" t="s">
        <v>55</v>
      </c>
      <c r="BZ1" s="83" t="s">
        <v>56</v>
      </c>
      <c r="CA1" s="83" t="s">
        <v>57</v>
      </c>
      <c r="CB1" s="90" t="s">
        <v>58</v>
      </c>
      <c r="CC1" s="90" t="s">
        <v>59</v>
      </c>
      <c r="CD1" s="90" t="s">
        <v>60</v>
      </c>
      <c r="CE1" s="90" t="s">
        <v>61</v>
      </c>
      <c r="CF1" s="90" t="s">
        <v>120</v>
      </c>
      <c r="CG1" s="90" t="s">
        <v>62</v>
      </c>
      <c r="CH1" s="90" t="s">
        <v>63</v>
      </c>
      <c r="CI1" s="90" t="s">
        <v>64</v>
      </c>
      <c r="CJ1" s="90" t="s">
        <v>65</v>
      </c>
      <c r="CK1" s="90" t="s">
        <v>103</v>
      </c>
      <c r="CL1" s="90" t="s">
        <v>104</v>
      </c>
      <c r="CM1" s="90" t="s">
        <v>105</v>
      </c>
      <c r="CN1" s="90" t="s">
        <v>106</v>
      </c>
      <c r="CO1" s="83" t="s">
        <v>107</v>
      </c>
      <c r="CP1" s="92" t="s">
        <v>66</v>
      </c>
      <c r="CQ1" s="23" t="s">
        <v>69</v>
      </c>
      <c r="CR1" s="23" t="s">
        <v>71</v>
      </c>
      <c r="CS1" s="23" t="s">
        <v>70</v>
      </c>
      <c r="CT1" s="23" t="s">
        <v>67</v>
      </c>
      <c r="CU1" s="83" t="s">
        <v>172</v>
      </c>
      <c r="CV1" s="93" t="s">
        <v>254</v>
      </c>
      <c r="CW1" s="94" t="s">
        <v>268</v>
      </c>
      <c r="CX1" s="94" t="s">
        <v>267</v>
      </c>
      <c r="CY1" s="84" t="s">
        <v>270</v>
      </c>
      <c r="CZ1" s="84"/>
      <c r="DA1" s="95" t="s">
        <v>72</v>
      </c>
      <c r="DB1" s="95" t="s">
        <v>73</v>
      </c>
      <c r="DC1" s="84" t="s">
        <v>74</v>
      </c>
      <c r="DD1" s="95" t="s">
        <v>75</v>
      </c>
      <c r="DE1" s="95" t="s">
        <v>76</v>
      </c>
      <c r="DF1" s="95" t="s">
        <v>77</v>
      </c>
      <c r="DG1" s="95" t="s">
        <v>127</v>
      </c>
      <c r="DH1" s="95" t="s">
        <v>126</v>
      </c>
      <c r="DI1" s="95" t="s">
        <v>392</v>
      </c>
      <c r="DJ1" s="95" t="s">
        <v>393</v>
      </c>
      <c r="DK1" s="95" t="s">
        <v>394</v>
      </c>
      <c r="DL1" s="95" t="s">
        <v>395</v>
      </c>
      <c r="DM1" s="95" t="s">
        <v>396</v>
      </c>
      <c r="DN1" s="95" t="s">
        <v>85</v>
      </c>
      <c r="DO1" s="96" t="s">
        <v>101</v>
      </c>
      <c r="DP1" s="96" t="s">
        <v>102</v>
      </c>
      <c r="DQ1" s="95" t="s">
        <v>78</v>
      </c>
      <c r="DR1" s="97" t="s">
        <v>68</v>
      </c>
      <c r="DS1" s="95" t="s">
        <v>79</v>
      </c>
      <c r="DT1" s="95" t="s">
        <v>80</v>
      </c>
      <c r="DU1" s="95" t="s">
        <v>81</v>
      </c>
      <c r="DV1" s="95" t="s">
        <v>82</v>
      </c>
      <c r="DW1" s="95" t="s">
        <v>83</v>
      </c>
      <c r="DX1" s="95" t="s">
        <v>84</v>
      </c>
      <c r="DY1" s="98" t="s">
        <v>149</v>
      </c>
      <c r="DZ1" s="98" t="s">
        <v>91</v>
      </c>
      <c r="EA1" s="98" t="s">
        <v>92</v>
      </c>
      <c r="EB1" s="98" t="s">
        <v>93</v>
      </c>
      <c r="EC1" s="123" t="s">
        <v>94</v>
      </c>
      <c r="ED1" s="99" t="s">
        <v>95</v>
      </c>
      <c r="EE1" s="99" t="s">
        <v>96</v>
      </c>
      <c r="EF1" s="99" t="s">
        <v>97</v>
      </c>
      <c r="EG1" s="99" t="s">
        <v>98</v>
      </c>
      <c r="EH1" s="99" t="s">
        <v>99</v>
      </c>
      <c r="EI1" s="100" t="s">
        <v>86</v>
      </c>
      <c r="EJ1" s="100" t="s">
        <v>87</v>
      </c>
      <c r="EK1" s="100" t="s">
        <v>88</v>
      </c>
      <c r="EL1" s="100" t="s">
        <v>89</v>
      </c>
      <c r="EM1" s="100" t="s">
        <v>90</v>
      </c>
      <c r="EN1" s="101" t="s">
        <v>108</v>
      </c>
      <c r="EO1" s="102" t="s">
        <v>109</v>
      </c>
      <c r="EP1" s="102" t="s">
        <v>110</v>
      </c>
      <c r="EQ1" s="102" t="s">
        <v>111</v>
      </c>
      <c r="ER1" s="102" t="s">
        <v>112</v>
      </c>
      <c r="ES1" s="102" t="s">
        <v>113</v>
      </c>
      <c r="ET1" s="95" t="s">
        <v>132</v>
      </c>
      <c r="EU1" s="95" t="s">
        <v>133</v>
      </c>
      <c r="EV1" s="95" t="s">
        <v>134</v>
      </c>
      <c r="EW1" s="95" t="s">
        <v>135</v>
      </c>
      <c r="EX1" s="95" t="s">
        <v>136</v>
      </c>
      <c r="EY1" s="95" t="s">
        <v>137</v>
      </c>
      <c r="EZ1" s="99" t="s">
        <v>173</v>
      </c>
      <c r="FA1" s="95" t="s">
        <v>100</v>
      </c>
      <c r="FB1" s="84" t="s">
        <v>368</v>
      </c>
      <c r="FC1" s="95" t="s">
        <v>174</v>
      </c>
      <c r="FD1" s="25"/>
    </row>
    <row r="2" spans="1:186" s="76" customFormat="1" x14ac:dyDescent="0.25">
      <c r="A2" s="111" t="s">
        <v>325</v>
      </c>
      <c r="B2" s="66" t="s">
        <v>175</v>
      </c>
      <c r="C2" s="66" t="s">
        <v>157</v>
      </c>
      <c r="D2" s="127" t="str">
        <f t="shared" ref="D2:D43" si="0">IF(DATEDIF(F2,G2,"y")=0," ",DATEDIF(F2,G2,"y")&amp;" Y ")&amp;IF(DATEDIF(F2,G2,"ym")=0,"",DATEDIF(F2,G2,"ym")&amp;" M ")</f>
        <v xml:space="preserve">80 Y 6 M </v>
      </c>
      <c r="E2" s="68">
        <v>1</v>
      </c>
      <c r="F2" s="72">
        <v>11873</v>
      </c>
      <c r="G2" s="72">
        <v>41284</v>
      </c>
      <c r="H2" s="73">
        <v>173</v>
      </c>
      <c r="I2" s="73">
        <v>79</v>
      </c>
      <c r="J2" s="73">
        <f t="shared" ref="J2:J11" si="1">IF(E2=1,50+2.3*(H2*0.393701-60),IF(E2=2,45.5+2.3*(H2*0.393701-60)))</f>
        <v>68.653627900000018</v>
      </c>
      <c r="K2" s="74">
        <f t="shared" ref="K2:K11" si="2">I2/((H2/100)*(H2/100))</f>
        <v>26.395803401383272</v>
      </c>
      <c r="L2" s="73"/>
      <c r="M2" s="73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>
        <v>14.8</v>
      </c>
      <c r="AL2" s="68"/>
      <c r="AM2" s="68"/>
      <c r="AN2" s="68"/>
      <c r="AO2" s="68"/>
      <c r="AP2" s="68">
        <v>150</v>
      </c>
      <c r="AQ2" s="68">
        <v>66</v>
      </c>
      <c r="AR2" s="73">
        <f t="shared" ref="AR2:AR11" si="3">((AP2-AQ2)*1/3)+AQ2</f>
        <v>94</v>
      </c>
      <c r="AS2" s="68">
        <f t="shared" ref="AS2:AS11" si="4">(AP2*0.2+AP2)</f>
        <v>180</v>
      </c>
      <c r="AT2" s="68">
        <f t="shared" ref="AT2:AT11" si="5">(AP2-AP2*0.2)</f>
        <v>120</v>
      </c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>
        <v>22</v>
      </c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>
        <v>2950</v>
      </c>
      <c r="CA2" s="68">
        <v>500</v>
      </c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>
        <v>0</v>
      </c>
      <c r="CP2" s="68"/>
      <c r="CQ2" s="68"/>
      <c r="CR2" s="68"/>
      <c r="CS2" s="68"/>
      <c r="CT2" s="68"/>
      <c r="CU2" s="68">
        <v>200</v>
      </c>
      <c r="CV2" s="68">
        <f t="shared" ref="CV2:CV17" si="6">BZ2</f>
        <v>2950</v>
      </c>
      <c r="CW2" s="108">
        <v>0.59861111111111109</v>
      </c>
      <c r="CX2" s="108">
        <v>0.625</v>
      </c>
      <c r="CY2" s="103">
        <f t="shared" ref="CY2:CY8" si="7">CX2-CW2</f>
        <v>2.6388888888888906E-2</v>
      </c>
      <c r="CZ2" s="104">
        <f>CY2*1440</f>
        <v>38.000000000000028</v>
      </c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8">
        <v>12.3</v>
      </c>
      <c r="DZ2" s="68"/>
      <c r="EA2" s="68"/>
      <c r="EB2" s="68"/>
      <c r="EC2" s="124"/>
      <c r="ED2" s="68"/>
      <c r="EE2" s="68"/>
      <c r="EF2" s="68"/>
      <c r="EG2" s="68"/>
      <c r="EH2" s="68"/>
      <c r="EI2" s="68"/>
      <c r="EJ2" s="68"/>
      <c r="EK2" s="68"/>
      <c r="EL2" s="68"/>
      <c r="EM2" s="68"/>
      <c r="EN2" s="75"/>
      <c r="EO2" s="68"/>
      <c r="EP2" s="68"/>
      <c r="EQ2" s="68"/>
      <c r="ER2" s="68"/>
      <c r="ES2" s="68"/>
      <c r="ET2" s="68"/>
      <c r="EU2" s="68"/>
      <c r="EV2" s="68"/>
      <c r="EW2" s="68"/>
      <c r="EX2" s="68"/>
      <c r="EY2" s="68"/>
      <c r="EZ2" s="68">
        <v>2</v>
      </c>
      <c r="FA2" s="69">
        <v>41296</v>
      </c>
      <c r="FB2" s="68">
        <f t="shared" ref="FB2:FB43" si="8">(FA2-G2)</f>
        <v>12</v>
      </c>
      <c r="FC2" s="68"/>
    </row>
    <row r="3" spans="1:186" s="76" customFormat="1" x14ac:dyDescent="0.25">
      <c r="A3" s="111" t="s">
        <v>326</v>
      </c>
      <c r="B3" s="66" t="s">
        <v>176</v>
      </c>
      <c r="C3" s="66" t="s">
        <v>157</v>
      </c>
      <c r="D3" s="68" t="str">
        <f t="shared" si="0"/>
        <v xml:space="preserve">60 Y 3 M </v>
      </c>
      <c r="E3" s="68">
        <v>1</v>
      </c>
      <c r="F3" s="72">
        <v>19275</v>
      </c>
      <c r="G3" s="72">
        <v>41291</v>
      </c>
      <c r="H3" s="73">
        <v>177.8</v>
      </c>
      <c r="I3" s="73">
        <v>89.3</v>
      </c>
      <c r="J3" s="73">
        <f t="shared" si="1"/>
        <v>73.000086940000031</v>
      </c>
      <c r="K3" s="74">
        <f t="shared" si="2"/>
        <v>28.248015679704825</v>
      </c>
      <c r="L3" s="73"/>
      <c r="M3" s="73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>
        <v>11.2</v>
      </c>
      <c r="AL3" s="68"/>
      <c r="AM3" s="68"/>
      <c r="AN3" s="68"/>
      <c r="AO3" s="68"/>
      <c r="AP3" s="68">
        <v>114</v>
      </c>
      <c r="AQ3" s="68">
        <v>64</v>
      </c>
      <c r="AR3" s="73">
        <f t="shared" si="3"/>
        <v>80.666666666666671</v>
      </c>
      <c r="AS3" s="68">
        <f t="shared" si="4"/>
        <v>136.80000000000001</v>
      </c>
      <c r="AT3" s="68">
        <f t="shared" si="5"/>
        <v>91.2</v>
      </c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>
        <v>2</v>
      </c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>
        <v>5400</v>
      </c>
      <c r="CA3" s="68">
        <v>750</v>
      </c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>
        <v>3</v>
      </c>
      <c r="CP3" s="68"/>
      <c r="CQ3" s="68"/>
      <c r="CR3" s="68"/>
      <c r="CS3" s="68"/>
      <c r="CT3" s="68"/>
      <c r="CU3" s="68">
        <v>1000</v>
      </c>
      <c r="CV3" s="68">
        <f t="shared" si="6"/>
        <v>5400</v>
      </c>
      <c r="CW3" s="108">
        <v>0.74513888888888891</v>
      </c>
      <c r="CX3" s="108">
        <v>0.79166666666666663</v>
      </c>
      <c r="CY3" s="103">
        <f t="shared" si="7"/>
        <v>4.6527777777777724E-2</v>
      </c>
      <c r="CZ3" s="104">
        <f t="shared" ref="CZ3:CZ64" si="9">CY3*1440</f>
        <v>66.999999999999915</v>
      </c>
      <c r="DA3" s="10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>
        <v>9.4</v>
      </c>
      <c r="DZ3" s="68"/>
      <c r="EA3" s="68"/>
      <c r="EB3" s="68"/>
      <c r="EC3" s="124"/>
      <c r="ED3" s="68"/>
      <c r="EE3" s="68"/>
      <c r="EF3" s="68"/>
      <c r="EG3" s="68"/>
      <c r="EH3" s="68"/>
      <c r="EI3" s="68"/>
      <c r="EJ3" s="68"/>
      <c r="EK3" s="68"/>
      <c r="EL3" s="68"/>
      <c r="EM3" s="68"/>
      <c r="EN3" s="75"/>
      <c r="EO3" s="68"/>
      <c r="EP3" s="68"/>
      <c r="EQ3" s="68"/>
      <c r="ER3" s="68"/>
      <c r="ES3" s="68"/>
      <c r="ET3" s="68"/>
      <c r="EU3" s="68"/>
      <c r="EV3" s="68"/>
      <c r="EW3" s="68"/>
      <c r="EX3" s="68"/>
      <c r="EY3" s="68"/>
      <c r="EZ3" s="68">
        <v>0</v>
      </c>
      <c r="FA3" s="69">
        <v>41300</v>
      </c>
      <c r="FB3" s="68">
        <f t="shared" si="8"/>
        <v>9</v>
      </c>
      <c r="FC3" s="68"/>
    </row>
    <row r="4" spans="1:186" s="76" customFormat="1" x14ac:dyDescent="0.25">
      <c r="A4" s="111" t="s">
        <v>324</v>
      </c>
      <c r="B4" s="66" t="s">
        <v>177</v>
      </c>
      <c r="C4" s="66" t="s">
        <v>157</v>
      </c>
      <c r="D4" s="68" t="str">
        <f t="shared" si="0"/>
        <v xml:space="preserve">52 Y 7 M </v>
      </c>
      <c r="E4" s="68">
        <v>2</v>
      </c>
      <c r="F4" s="69">
        <v>22070</v>
      </c>
      <c r="G4" s="72">
        <v>41298</v>
      </c>
      <c r="H4" s="73">
        <v>171</v>
      </c>
      <c r="I4" s="73">
        <v>61.2</v>
      </c>
      <c r="J4" s="73">
        <f t="shared" si="1"/>
        <v>62.342603300000015</v>
      </c>
      <c r="K4" s="74">
        <f t="shared" si="2"/>
        <v>20.929516774392123</v>
      </c>
      <c r="L4" s="73"/>
      <c r="M4" s="73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>
        <v>13.9</v>
      </c>
      <c r="AL4" s="68"/>
      <c r="AM4" s="68"/>
      <c r="AN4" s="68"/>
      <c r="AO4" s="68"/>
      <c r="AP4" s="68">
        <v>111</v>
      </c>
      <c r="AQ4" s="68">
        <v>73</v>
      </c>
      <c r="AR4" s="73">
        <f t="shared" si="3"/>
        <v>85.666666666666671</v>
      </c>
      <c r="AS4" s="68">
        <f t="shared" si="4"/>
        <v>133.19999999999999</v>
      </c>
      <c r="AT4" s="68">
        <f t="shared" si="5"/>
        <v>88.8</v>
      </c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>
        <v>7</v>
      </c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>
        <v>3500</v>
      </c>
      <c r="CA4" s="68">
        <v>0</v>
      </c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>
        <v>0</v>
      </c>
      <c r="CP4" s="68"/>
      <c r="CQ4" s="68"/>
      <c r="CR4" s="68"/>
      <c r="CS4" s="68"/>
      <c r="CT4" s="68"/>
      <c r="CU4" s="68">
        <v>300</v>
      </c>
      <c r="CV4" s="68">
        <f t="shared" si="6"/>
        <v>3500</v>
      </c>
      <c r="CW4" s="108">
        <v>0.57500000000000007</v>
      </c>
      <c r="CX4" s="108">
        <v>0.73958333333333337</v>
      </c>
      <c r="CY4" s="103">
        <f t="shared" si="7"/>
        <v>0.1645833333333333</v>
      </c>
      <c r="CZ4" s="104">
        <f t="shared" si="9"/>
        <v>236.99999999999994</v>
      </c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>
        <v>12.8</v>
      </c>
      <c r="DZ4" s="68"/>
      <c r="EA4" s="68"/>
      <c r="EB4" s="68"/>
      <c r="EC4" s="124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75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>
        <v>0</v>
      </c>
      <c r="FA4" s="69">
        <v>41306</v>
      </c>
      <c r="FB4" s="68">
        <f t="shared" si="8"/>
        <v>8</v>
      </c>
      <c r="FC4" s="68"/>
    </row>
    <row r="5" spans="1:186" s="76" customFormat="1" x14ac:dyDescent="0.25">
      <c r="A5" s="111" t="s">
        <v>322</v>
      </c>
      <c r="B5" s="66" t="s">
        <v>179</v>
      </c>
      <c r="C5" s="66" t="s">
        <v>157</v>
      </c>
      <c r="D5" s="68" t="str">
        <f t="shared" si="0"/>
        <v xml:space="preserve">77 Y 3 M </v>
      </c>
      <c r="E5" s="68">
        <v>2</v>
      </c>
      <c r="F5" s="69">
        <v>13096</v>
      </c>
      <c r="G5" s="72">
        <v>41326</v>
      </c>
      <c r="H5" s="73">
        <v>164.8</v>
      </c>
      <c r="I5" s="73">
        <v>64.099999999999994</v>
      </c>
      <c r="J5" s="73">
        <f t="shared" si="1"/>
        <v>56.728427040000014</v>
      </c>
      <c r="K5" s="74">
        <f t="shared" si="2"/>
        <v>23.60171788104439</v>
      </c>
      <c r="L5" s="73"/>
      <c r="M5" s="73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>
        <v>13.9</v>
      </c>
      <c r="AL5" s="68"/>
      <c r="AM5" s="68"/>
      <c r="AN5" s="68"/>
      <c r="AO5" s="68"/>
      <c r="AP5" s="68">
        <v>144</v>
      </c>
      <c r="AQ5" s="68">
        <v>91</v>
      </c>
      <c r="AR5" s="73">
        <f t="shared" si="3"/>
        <v>108.66666666666667</v>
      </c>
      <c r="AS5" s="68">
        <f t="shared" si="4"/>
        <v>172.8</v>
      </c>
      <c r="AT5" s="68">
        <f t="shared" si="5"/>
        <v>115.2</v>
      </c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>
        <v>31</v>
      </c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>
        <v>4450</v>
      </c>
      <c r="CA5" s="68">
        <v>500</v>
      </c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>
        <v>0</v>
      </c>
      <c r="CP5" s="68"/>
      <c r="CQ5" s="68"/>
      <c r="CR5" s="68"/>
      <c r="CS5" s="68"/>
      <c r="CT5" s="68"/>
      <c r="CU5" s="68">
        <v>250</v>
      </c>
      <c r="CV5" s="68">
        <f t="shared" si="6"/>
        <v>4450</v>
      </c>
      <c r="CW5" s="108">
        <v>0.60763888888888895</v>
      </c>
      <c r="CX5" s="108">
        <v>0.77083333333333337</v>
      </c>
      <c r="CY5" s="103">
        <f t="shared" si="7"/>
        <v>0.16319444444444442</v>
      </c>
      <c r="CZ5" s="104">
        <f t="shared" si="9"/>
        <v>234.99999999999997</v>
      </c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>
        <v>11.7</v>
      </c>
      <c r="DZ5" s="68"/>
      <c r="EA5" s="68"/>
      <c r="EB5" s="68"/>
      <c r="EC5" s="124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75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>
        <v>0</v>
      </c>
      <c r="FA5" s="69">
        <v>41340</v>
      </c>
      <c r="FB5" s="68">
        <f t="shared" si="8"/>
        <v>14</v>
      </c>
      <c r="FC5" s="68"/>
    </row>
    <row r="6" spans="1:186" s="76" customFormat="1" x14ac:dyDescent="0.25">
      <c r="A6" s="111" t="s">
        <v>321</v>
      </c>
      <c r="B6" s="66" t="s">
        <v>180</v>
      </c>
      <c r="C6" s="66" t="s">
        <v>157</v>
      </c>
      <c r="D6" s="68" t="str">
        <f t="shared" si="0"/>
        <v xml:space="preserve">44 Y 10 M </v>
      </c>
      <c r="E6" s="68">
        <v>1</v>
      </c>
      <c r="F6" s="69">
        <v>24942</v>
      </c>
      <c r="G6" s="72">
        <v>41327</v>
      </c>
      <c r="H6" s="73">
        <v>175.26</v>
      </c>
      <c r="I6" s="73">
        <v>83.9</v>
      </c>
      <c r="J6" s="73">
        <f t="shared" si="1"/>
        <v>70.700085697999995</v>
      </c>
      <c r="K6" s="74">
        <f t="shared" si="2"/>
        <v>27.314694410947322</v>
      </c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>
        <v>15.4</v>
      </c>
      <c r="AL6" s="68"/>
      <c r="AM6" s="68"/>
      <c r="AN6" s="68"/>
      <c r="AO6" s="68"/>
      <c r="AP6" s="68">
        <v>124</v>
      </c>
      <c r="AQ6" s="68">
        <v>76</v>
      </c>
      <c r="AR6" s="73">
        <f t="shared" si="3"/>
        <v>92</v>
      </c>
      <c r="AS6" s="68">
        <f t="shared" si="4"/>
        <v>148.80000000000001</v>
      </c>
      <c r="AT6" s="68">
        <f t="shared" si="5"/>
        <v>99.2</v>
      </c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>
        <v>15</v>
      </c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>
        <v>6400</v>
      </c>
      <c r="CA6" s="68">
        <v>750</v>
      </c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>
        <v>0</v>
      </c>
      <c r="CP6" s="68"/>
      <c r="CQ6" s="68"/>
      <c r="CR6" s="68"/>
      <c r="CS6" s="68"/>
      <c r="CT6" s="68"/>
      <c r="CU6" s="68">
        <v>1000</v>
      </c>
      <c r="CV6" s="68">
        <f t="shared" si="6"/>
        <v>6400</v>
      </c>
      <c r="CW6" s="108">
        <v>0.60486111111111118</v>
      </c>
      <c r="CX6" s="108">
        <v>0.71527777777777779</v>
      </c>
      <c r="CY6" s="103">
        <f t="shared" si="7"/>
        <v>0.11041666666666661</v>
      </c>
      <c r="CZ6" s="104">
        <f t="shared" si="9"/>
        <v>158.99999999999991</v>
      </c>
      <c r="DA6" s="68"/>
      <c r="DB6" s="68"/>
      <c r="DC6" s="75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>
        <v>10.9</v>
      </c>
      <c r="DZ6" s="68"/>
      <c r="EA6" s="68"/>
      <c r="EB6" s="68"/>
      <c r="EC6" s="124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>
        <v>0</v>
      </c>
      <c r="FA6" s="69">
        <v>41336</v>
      </c>
      <c r="FB6" s="68">
        <f t="shared" si="8"/>
        <v>9</v>
      </c>
      <c r="FC6" s="68"/>
    </row>
    <row r="7" spans="1:186" s="76" customFormat="1" x14ac:dyDescent="0.25">
      <c r="A7" s="111" t="s">
        <v>320</v>
      </c>
      <c r="B7" s="66" t="s">
        <v>181</v>
      </c>
      <c r="C7" s="66" t="s">
        <v>157</v>
      </c>
      <c r="D7" s="68" t="str">
        <f t="shared" si="0"/>
        <v xml:space="preserve">75 Y 9 M </v>
      </c>
      <c r="E7" s="68">
        <v>2</v>
      </c>
      <c r="F7" s="69">
        <v>13657</v>
      </c>
      <c r="G7" s="72">
        <v>41354</v>
      </c>
      <c r="H7" s="73">
        <v>170.69</v>
      </c>
      <c r="I7" s="73">
        <v>68.900000000000006</v>
      </c>
      <c r="J7" s="73">
        <f t="shared" si="1"/>
        <v>62.061894487000018</v>
      </c>
      <c r="K7" s="74">
        <f t="shared" si="2"/>
        <v>23.648470923334912</v>
      </c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>
        <v>10.5</v>
      </c>
      <c r="AL7" s="68"/>
      <c r="AM7" s="68"/>
      <c r="AN7" s="68"/>
      <c r="AO7" s="68"/>
      <c r="AP7" s="68">
        <v>160</v>
      </c>
      <c r="AQ7" s="68">
        <v>87</v>
      </c>
      <c r="AR7" s="73">
        <f t="shared" si="3"/>
        <v>111.33333333333333</v>
      </c>
      <c r="AS7" s="68">
        <f t="shared" si="4"/>
        <v>192</v>
      </c>
      <c r="AT7" s="68">
        <f t="shared" si="5"/>
        <v>128</v>
      </c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>
        <v>28</v>
      </c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>
        <v>2500</v>
      </c>
      <c r="CA7" s="68">
        <v>750</v>
      </c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>
        <v>0</v>
      </c>
      <c r="CP7" s="68"/>
      <c r="CQ7" s="68"/>
      <c r="CR7" s="68"/>
      <c r="CS7" s="68"/>
      <c r="CT7" s="68"/>
      <c r="CU7" s="68">
        <v>250</v>
      </c>
      <c r="CV7" s="68">
        <f t="shared" si="6"/>
        <v>2500</v>
      </c>
      <c r="CW7" s="108">
        <v>0.67847222222222225</v>
      </c>
      <c r="CX7" s="108">
        <v>0.72569444444444453</v>
      </c>
      <c r="CY7" s="103">
        <f t="shared" si="7"/>
        <v>4.7222222222222276E-2</v>
      </c>
      <c r="CZ7" s="104">
        <f t="shared" si="9"/>
        <v>68.000000000000085</v>
      </c>
      <c r="DA7" s="68"/>
      <c r="DB7" s="68"/>
      <c r="DC7" s="75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>
        <v>10.3</v>
      </c>
      <c r="DZ7" s="68"/>
      <c r="EA7" s="68"/>
      <c r="EB7" s="68"/>
      <c r="EC7" s="124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>
        <v>0</v>
      </c>
      <c r="FA7" s="69">
        <v>41363</v>
      </c>
      <c r="FB7" s="68">
        <f t="shared" si="8"/>
        <v>9</v>
      </c>
      <c r="FC7" s="68"/>
    </row>
    <row r="8" spans="1:186" s="76" customFormat="1" x14ac:dyDescent="0.25">
      <c r="A8" s="111" t="s">
        <v>319</v>
      </c>
      <c r="B8" s="66" t="s">
        <v>182</v>
      </c>
      <c r="C8" s="66" t="s">
        <v>157</v>
      </c>
      <c r="D8" s="68" t="str">
        <f t="shared" si="0"/>
        <v xml:space="preserve">31 Y 9 M </v>
      </c>
      <c r="E8" s="68">
        <v>1</v>
      </c>
      <c r="F8" s="72">
        <v>29752</v>
      </c>
      <c r="G8" s="72">
        <v>41355</v>
      </c>
      <c r="H8" s="73">
        <v>165</v>
      </c>
      <c r="I8" s="73">
        <v>64</v>
      </c>
      <c r="J8" s="73">
        <f t="shared" si="1"/>
        <v>61.409529500000012</v>
      </c>
      <c r="K8" s="74">
        <f t="shared" si="2"/>
        <v>23.507805325987146</v>
      </c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>
        <v>15.8</v>
      </c>
      <c r="AL8" s="68"/>
      <c r="AM8" s="68"/>
      <c r="AN8" s="68"/>
      <c r="AO8" s="68"/>
      <c r="AP8" s="68">
        <v>128</v>
      </c>
      <c r="AQ8" s="68">
        <v>66</v>
      </c>
      <c r="AR8" s="73">
        <f t="shared" si="3"/>
        <v>86.666666666666671</v>
      </c>
      <c r="AS8" s="68">
        <f t="shared" si="4"/>
        <v>153.6</v>
      </c>
      <c r="AT8" s="68">
        <f t="shared" si="5"/>
        <v>102.4</v>
      </c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>
        <v>35</v>
      </c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>
        <v>3000</v>
      </c>
      <c r="CA8" s="68">
        <v>500</v>
      </c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>
        <v>0</v>
      </c>
      <c r="CP8" s="68"/>
      <c r="CQ8" s="68"/>
      <c r="CR8" s="68"/>
      <c r="CS8" s="68"/>
      <c r="CT8" s="68"/>
      <c r="CU8" s="68">
        <v>600</v>
      </c>
      <c r="CV8" s="68">
        <f t="shared" si="6"/>
        <v>3000</v>
      </c>
      <c r="CW8" s="108">
        <v>0.57777777777777783</v>
      </c>
      <c r="CX8" s="109">
        <v>0.625</v>
      </c>
      <c r="CY8" s="103">
        <f t="shared" si="7"/>
        <v>4.7222222222222165E-2</v>
      </c>
      <c r="CZ8" s="104">
        <f t="shared" si="9"/>
        <v>67.999999999999915</v>
      </c>
      <c r="DA8" s="68"/>
      <c r="DB8" s="68"/>
      <c r="DC8" s="75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73">
        <v>13</v>
      </c>
      <c r="DZ8" s="68"/>
      <c r="EA8" s="68"/>
      <c r="EB8" s="68"/>
      <c r="EC8" s="124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>
        <v>0</v>
      </c>
      <c r="FA8" s="69">
        <v>41377</v>
      </c>
      <c r="FB8" s="68">
        <f t="shared" si="8"/>
        <v>22</v>
      </c>
      <c r="FC8" s="68"/>
    </row>
    <row r="9" spans="1:186" s="76" customFormat="1" x14ac:dyDescent="0.25">
      <c r="A9" s="111" t="s">
        <v>318</v>
      </c>
      <c r="B9" s="66" t="s">
        <v>183</v>
      </c>
      <c r="C9" s="66" t="s">
        <v>157</v>
      </c>
      <c r="D9" s="68" t="str">
        <f t="shared" si="0"/>
        <v xml:space="preserve">50 Y 11 M </v>
      </c>
      <c r="E9" s="68">
        <v>1</v>
      </c>
      <c r="F9" s="69">
        <v>22759</v>
      </c>
      <c r="G9" s="72">
        <v>41360</v>
      </c>
      <c r="H9" s="73">
        <v>175.7</v>
      </c>
      <c r="I9" s="73">
        <v>87.4</v>
      </c>
      <c r="J9" s="73">
        <f t="shared" si="1"/>
        <v>71.098511110000004</v>
      </c>
      <c r="K9" s="74">
        <f t="shared" si="2"/>
        <v>28.311827897775519</v>
      </c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>
        <v>13.5</v>
      </c>
      <c r="AL9" s="68"/>
      <c r="AM9" s="68"/>
      <c r="AN9" s="68"/>
      <c r="AO9" s="68"/>
      <c r="AP9" s="68">
        <v>130</v>
      </c>
      <c r="AQ9" s="68">
        <v>74</v>
      </c>
      <c r="AR9" s="73">
        <f t="shared" si="3"/>
        <v>92.666666666666671</v>
      </c>
      <c r="AS9" s="68">
        <f t="shared" si="4"/>
        <v>156</v>
      </c>
      <c r="AT9" s="68">
        <f t="shared" si="5"/>
        <v>104</v>
      </c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>
        <v>33</v>
      </c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>
        <v>6950</v>
      </c>
      <c r="CA9" s="68">
        <v>2000</v>
      </c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>
        <v>2</v>
      </c>
      <c r="CP9" s="68"/>
      <c r="CQ9" s="68"/>
      <c r="CR9" s="68"/>
      <c r="CS9" s="68"/>
      <c r="CT9" s="68"/>
      <c r="CU9" s="68">
        <v>2000</v>
      </c>
      <c r="CV9" s="68">
        <f t="shared" si="6"/>
        <v>6950</v>
      </c>
      <c r="CW9" s="108" t="s">
        <v>335</v>
      </c>
      <c r="CX9" s="108" t="s">
        <v>335</v>
      </c>
      <c r="CY9" s="103"/>
      <c r="CZ9" s="104"/>
      <c r="DA9" s="68"/>
      <c r="DB9" s="68"/>
      <c r="DC9" s="75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>
        <v>10.1</v>
      </c>
      <c r="DZ9" s="68"/>
      <c r="EA9" s="68"/>
      <c r="EB9" s="68"/>
      <c r="EC9" s="124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>
        <v>1</v>
      </c>
      <c r="FA9" s="69">
        <v>41368</v>
      </c>
      <c r="FB9" s="68">
        <f t="shared" si="8"/>
        <v>8</v>
      </c>
      <c r="FC9" s="68"/>
    </row>
    <row r="10" spans="1:186" s="76" customFormat="1" x14ac:dyDescent="0.25">
      <c r="A10" s="111" t="s">
        <v>317</v>
      </c>
      <c r="B10" s="66" t="s">
        <v>184</v>
      </c>
      <c r="C10" s="66" t="s">
        <v>157</v>
      </c>
      <c r="D10" s="68" t="str">
        <f t="shared" si="0"/>
        <v xml:space="preserve">66 Y 2 M </v>
      </c>
      <c r="E10" s="68">
        <v>2</v>
      </c>
      <c r="F10" s="72">
        <v>17193</v>
      </c>
      <c r="G10" s="72">
        <v>41361</v>
      </c>
      <c r="H10" s="77">
        <v>154.1</v>
      </c>
      <c r="I10" s="77">
        <v>48.2</v>
      </c>
      <c r="J10" s="73">
        <f t="shared" si="1"/>
        <v>47.039445430000008</v>
      </c>
      <c r="K10" s="74">
        <f t="shared" si="2"/>
        <v>20.297463111887453</v>
      </c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>
        <v>12.4</v>
      </c>
      <c r="AL10" s="68"/>
      <c r="AM10" s="68"/>
      <c r="AN10" s="68"/>
      <c r="AO10" s="68"/>
      <c r="AP10" s="77">
        <v>150</v>
      </c>
      <c r="AQ10" s="77">
        <v>63</v>
      </c>
      <c r="AR10" s="73">
        <f t="shared" si="3"/>
        <v>92</v>
      </c>
      <c r="AS10" s="68">
        <f t="shared" si="4"/>
        <v>180</v>
      </c>
      <c r="AT10" s="68">
        <f t="shared" si="5"/>
        <v>120</v>
      </c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>
        <v>21</v>
      </c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>
        <v>5500</v>
      </c>
      <c r="CA10" s="68">
        <v>750</v>
      </c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>
        <v>0</v>
      </c>
      <c r="CP10" s="68"/>
      <c r="CQ10" s="68"/>
      <c r="CR10" s="68"/>
      <c r="CS10" s="68"/>
      <c r="CT10" s="68"/>
      <c r="CU10" s="68">
        <v>700</v>
      </c>
      <c r="CV10" s="68">
        <f t="shared" si="6"/>
        <v>5500</v>
      </c>
      <c r="CW10" s="108">
        <v>0.61041666666666672</v>
      </c>
      <c r="CX10" s="108">
        <v>0.66180555555555554</v>
      </c>
      <c r="CY10" s="103">
        <f t="shared" ref="CY10:CY15" si="10">CX10-CW10</f>
        <v>5.1388888888888817E-2</v>
      </c>
      <c r="CZ10" s="104">
        <f t="shared" si="9"/>
        <v>73.999999999999901</v>
      </c>
      <c r="DA10" s="68"/>
      <c r="DB10" s="68"/>
      <c r="DC10" s="75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73">
        <v>9</v>
      </c>
      <c r="DZ10" s="68"/>
      <c r="EA10" s="68"/>
      <c r="EB10" s="68"/>
      <c r="EC10" s="124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>
        <v>0</v>
      </c>
      <c r="FA10" s="69">
        <v>41370</v>
      </c>
      <c r="FB10" s="68">
        <f t="shared" si="8"/>
        <v>9</v>
      </c>
      <c r="FC10" s="68"/>
    </row>
    <row r="11" spans="1:186" s="76" customFormat="1" x14ac:dyDescent="0.25">
      <c r="A11" s="111" t="s">
        <v>316</v>
      </c>
      <c r="B11" s="68">
        <v>41979733</v>
      </c>
      <c r="C11" s="68" t="s">
        <v>157</v>
      </c>
      <c r="D11" s="68" t="str">
        <f t="shared" si="0"/>
        <v xml:space="preserve">64 Y 7 M </v>
      </c>
      <c r="E11" s="68">
        <v>2</v>
      </c>
      <c r="F11" s="69">
        <v>17787</v>
      </c>
      <c r="G11" s="69">
        <v>41375</v>
      </c>
      <c r="H11" s="73">
        <v>166</v>
      </c>
      <c r="I11" s="73">
        <v>58.2</v>
      </c>
      <c r="J11" s="73">
        <f t="shared" si="1"/>
        <v>57.815041799999996</v>
      </c>
      <c r="K11" s="74">
        <f t="shared" si="2"/>
        <v>21.120627086659894</v>
      </c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>
        <v>12.2</v>
      </c>
      <c r="AL11" s="68"/>
      <c r="AM11" s="68"/>
      <c r="AN11" s="68"/>
      <c r="AO11" s="68"/>
      <c r="AP11" s="68">
        <v>150</v>
      </c>
      <c r="AQ11" s="68">
        <v>73</v>
      </c>
      <c r="AR11" s="73">
        <f t="shared" si="3"/>
        <v>98.666666666666671</v>
      </c>
      <c r="AS11" s="68">
        <f t="shared" si="4"/>
        <v>180</v>
      </c>
      <c r="AT11" s="68">
        <f t="shared" si="5"/>
        <v>120</v>
      </c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>
        <v>7</v>
      </c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>
        <v>1800</v>
      </c>
      <c r="CA11" s="68">
        <v>0</v>
      </c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>
        <v>0</v>
      </c>
      <c r="CP11" s="68"/>
      <c r="CQ11" s="68"/>
      <c r="CR11" s="68"/>
      <c r="CS11" s="68"/>
      <c r="CT11" s="68"/>
      <c r="CU11" s="68">
        <v>400</v>
      </c>
      <c r="CV11" s="68">
        <f t="shared" si="6"/>
        <v>1800</v>
      </c>
      <c r="CW11" s="108">
        <v>0.71875</v>
      </c>
      <c r="CX11" s="108">
        <v>0.78402777777777777</v>
      </c>
      <c r="CY11" s="103">
        <f t="shared" si="10"/>
        <v>6.5277777777777768E-2</v>
      </c>
      <c r="CZ11" s="104">
        <f t="shared" si="9"/>
        <v>93.999999999999986</v>
      </c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78"/>
      <c r="DP11" s="78"/>
      <c r="DQ11" s="68"/>
      <c r="DR11" s="68"/>
      <c r="DS11" s="68"/>
      <c r="DT11" s="67">
        <v>6</v>
      </c>
      <c r="DU11" s="67">
        <v>6</v>
      </c>
      <c r="DV11" s="67">
        <v>10</v>
      </c>
      <c r="DW11" s="67">
        <v>4</v>
      </c>
      <c r="DX11" s="67">
        <v>4</v>
      </c>
      <c r="DY11" s="73">
        <v>11.6</v>
      </c>
      <c r="DZ11" s="68"/>
      <c r="EA11" s="68"/>
      <c r="EB11" s="68"/>
      <c r="EC11" s="124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>
        <v>0</v>
      </c>
      <c r="FA11" s="69">
        <v>41384</v>
      </c>
      <c r="FB11" s="71">
        <f t="shared" si="8"/>
        <v>9</v>
      </c>
      <c r="FC11" s="68"/>
    </row>
    <row r="12" spans="1:186" s="76" customFormat="1" x14ac:dyDescent="0.25">
      <c r="A12" s="111" t="s">
        <v>315</v>
      </c>
      <c r="B12" s="68">
        <v>20805495</v>
      </c>
      <c r="C12" s="68" t="s">
        <v>157</v>
      </c>
      <c r="D12" s="68" t="str">
        <f t="shared" si="0"/>
        <v xml:space="preserve">69 Y 9 M </v>
      </c>
      <c r="E12" s="68">
        <v>2</v>
      </c>
      <c r="F12" s="69">
        <v>15879</v>
      </c>
      <c r="G12" s="69">
        <v>41381</v>
      </c>
      <c r="H12" s="73" t="s">
        <v>252</v>
      </c>
      <c r="I12" s="73" t="s">
        <v>252</v>
      </c>
      <c r="J12" s="73" t="s">
        <v>252</v>
      </c>
      <c r="K12" s="74" t="s">
        <v>252</v>
      </c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73">
        <v>13</v>
      </c>
      <c r="AL12" s="68"/>
      <c r="AM12" s="68"/>
      <c r="AN12" s="68"/>
      <c r="AO12" s="68"/>
      <c r="AP12" s="68" t="s">
        <v>252</v>
      </c>
      <c r="AQ12" s="68" t="s">
        <v>252</v>
      </c>
      <c r="AR12" s="73" t="s">
        <v>252</v>
      </c>
      <c r="AS12" s="68" t="s">
        <v>252</v>
      </c>
      <c r="AT12" s="68" t="s">
        <v>252</v>
      </c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>
        <v>4400</v>
      </c>
      <c r="CA12" s="68">
        <v>500</v>
      </c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>
        <v>2</v>
      </c>
      <c r="CP12" s="68"/>
      <c r="CQ12" s="68"/>
      <c r="CR12" s="68"/>
      <c r="CS12" s="68"/>
      <c r="CT12" s="68"/>
      <c r="CU12" s="68">
        <v>600</v>
      </c>
      <c r="CV12" s="68">
        <f t="shared" si="6"/>
        <v>4400</v>
      </c>
      <c r="CW12" s="108">
        <v>0.64097222222222217</v>
      </c>
      <c r="CX12" s="108">
        <v>0.77083333333333337</v>
      </c>
      <c r="CY12" s="103">
        <f t="shared" si="10"/>
        <v>0.1298611111111112</v>
      </c>
      <c r="CZ12" s="104">
        <f t="shared" si="9"/>
        <v>187.00000000000014</v>
      </c>
      <c r="DA12" s="68"/>
      <c r="DB12" s="68"/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8"/>
      <c r="DN12" s="68"/>
      <c r="DO12" s="78"/>
      <c r="DP12" s="78"/>
      <c r="DQ12" s="68"/>
      <c r="DR12" s="68"/>
      <c r="DS12" s="68"/>
      <c r="DT12" s="67">
        <v>0</v>
      </c>
      <c r="DU12" s="67">
        <v>2</v>
      </c>
      <c r="DV12" s="67">
        <v>2</v>
      </c>
      <c r="DW12" s="67">
        <v>2</v>
      </c>
      <c r="DX12" s="67">
        <v>2</v>
      </c>
      <c r="DY12" s="73">
        <v>11.5</v>
      </c>
      <c r="DZ12" s="68"/>
      <c r="EA12" s="68"/>
      <c r="EB12" s="68"/>
      <c r="EC12" s="124"/>
      <c r="ED12" s="68"/>
      <c r="EE12" s="68"/>
      <c r="EF12" s="68"/>
      <c r="EG12" s="68"/>
      <c r="EH12" s="68"/>
      <c r="EI12" s="68"/>
      <c r="EJ12" s="68"/>
      <c r="EK12" s="68"/>
      <c r="EL12" s="68"/>
      <c r="EM12" s="68"/>
      <c r="EN12" s="68"/>
      <c r="EO12" s="68"/>
      <c r="EP12" s="68"/>
      <c r="EQ12" s="68"/>
      <c r="ER12" s="68"/>
      <c r="ES12" s="68"/>
      <c r="ET12" s="68"/>
      <c r="EU12" s="68"/>
      <c r="EV12" s="68"/>
      <c r="EW12" s="68"/>
      <c r="EX12" s="68"/>
      <c r="EY12" s="68"/>
      <c r="EZ12" s="68">
        <v>0</v>
      </c>
      <c r="FA12" s="69">
        <v>41390</v>
      </c>
      <c r="FB12" s="71">
        <f t="shared" si="8"/>
        <v>9</v>
      </c>
      <c r="FC12" s="68"/>
    </row>
    <row r="13" spans="1:186" s="76" customFormat="1" x14ac:dyDescent="0.25">
      <c r="A13" s="111" t="s">
        <v>313</v>
      </c>
      <c r="B13" s="68">
        <v>12412706</v>
      </c>
      <c r="C13" s="68" t="s">
        <v>157</v>
      </c>
      <c r="D13" s="68" t="str">
        <f t="shared" si="0"/>
        <v xml:space="preserve">75 Y 8 M </v>
      </c>
      <c r="E13" s="68">
        <v>2</v>
      </c>
      <c r="F13" s="69">
        <v>13722</v>
      </c>
      <c r="G13" s="69">
        <v>41389</v>
      </c>
      <c r="H13" s="73">
        <v>150</v>
      </c>
      <c r="I13" s="73">
        <v>54.9</v>
      </c>
      <c r="J13" s="73">
        <f>IF(E13=1,50+2.3*(H13*0.393701-60),IF(E13=2,45.5+2.3*(H13*0.393701-60)))</f>
        <v>43.326845000000013</v>
      </c>
      <c r="K13" s="74">
        <f>I13/((H13/100)*(H13/100))</f>
        <v>24.4</v>
      </c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73">
        <v>11.8</v>
      </c>
      <c r="AL13" s="68"/>
      <c r="AM13" s="68"/>
      <c r="AN13" s="68"/>
      <c r="AO13" s="68"/>
      <c r="AP13" s="68">
        <v>149</v>
      </c>
      <c r="AQ13" s="68">
        <v>69</v>
      </c>
      <c r="AR13" s="73">
        <f>((AP13-AQ13)*1/3)+AQ13</f>
        <v>95.666666666666671</v>
      </c>
      <c r="AS13" s="68">
        <f>(AP13*0.2+AP13)</f>
        <v>178.8</v>
      </c>
      <c r="AT13" s="68">
        <f>(AP13-AP13*0.2)</f>
        <v>119.2</v>
      </c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>
        <v>7</v>
      </c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>
        <v>4100</v>
      </c>
      <c r="CA13" s="68">
        <v>1500</v>
      </c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>
        <v>2</v>
      </c>
      <c r="CP13" s="68"/>
      <c r="CQ13" s="68"/>
      <c r="CR13" s="68"/>
      <c r="CS13" s="68"/>
      <c r="CT13" s="68"/>
      <c r="CU13" s="68">
        <v>600</v>
      </c>
      <c r="CV13" s="68">
        <f t="shared" si="6"/>
        <v>4100</v>
      </c>
      <c r="CW13" s="108">
        <v>0.62638888888888888</v>
      </c>
      <c r="CX13" s="108">
        <v>0.69791666666666663</v>
      </c>
      <c r="CY13" s="103">
        <f t="shared" si="10"/>
        <v>7.1527777777777746E-2</v>
      </c>
      <c r="CZ13" s="104">
        <f t="shared" si="9"/>
        <v>102.99999999999996</v>
      </c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78"/>
      <c r="DP13" s="78"/>
      <c r="DQ13" s="68"/>
      <c r="DR13" s="68"/>
      <c r="DS13" s="68"/>
      <c r="DT13" s="67">
        <v>4</v>
      </c>
      <c r="DU13" s="67">
        <v>0</v>
      </c>
      <c r="DV13" s="67">
        <v>0</v>
      </c>
      <c r="DW13" s="67">
        <v>0</v>
      </c>
      <c r="DX13" s="67">
        <v>7</v>
      </c>
      <c r="DY13" s="73">
        <v>11.1</v>
      </c>
      <c r="DZ13" s="68"/>
      <c r="EA13" s="68"/>
      <c r="EB13" s="68"/>
      <c r="EC13" s="124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>
        <v>0</v>
      </c>
      <c r="FA13" s="69">
        <v>41395</v>
      </c>
      <c r="FB13" s="71">
        <f t="shared" si="8"/>
        <v>6</v>
      </c>
      <c r="FC13" s="68"/>
    </row>
    <row r="14" spans="1:186" s="76" customFormat="1" x14ac:dyDescent="0.25">
      <c r="A14" s="112" t="s">
        <v>312</v>
      </c>
      <c r="B14" s="68">
        <v>20793196</v>
      </c>
      <c r="C14" s="68" t="s">
        <v>157</v>
      </c>
      <c r="D14" s="68" t="str">
        <f t="shared" si="0"/>
        <v xml:space="preserve">57 Y 9 M </v>
      </c>
      <c r="E14" s="68">
        <v>1</v>
      </c>
      <c r="F14" s="69">
        <v>20276</v>
      </c>
      <c r="G14" s="69">
        <v>41396</v>
      </c>
      <c r="H14" s="73">
        <v>152.4</v>
      </c>
      <c r="I14" s="73">
        <v>110.7</v>
      </c>
      <c r="J14" s="73">
        <f>IF(E14=1,50+2.3*(H14*0.393701-60),IF(E14=2,45.5+2.3*(H14*0.393701-60)))</f>
        <v>50.00007452000002</v>
      </c>
      <c r="K14" s="74">
        <f>I14/((H14/100)*(H14/100))</f>
        <v>47.662595325190651</v>
      </c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73">
        <v>10.199999999999999</v>
      </c>
      <c r="AL14" s="68"/>
      <c r="AM14" s="68"/>
      <c r="AN14" s="68"/>
      <c r="AO14" s="68"/>
      <c r="AP14" s="68">
        <v>118</v>
      </c>
      <c r="AQ14" s="68">
        <v>78</v>
      </c>
      <c r="AR14" s="73">
        <f>((AP14-AQ14)*1/3)+AQ14</f>
        <v>91.333333333333329</v>
      </c>
      <c r="AS14" s="68">
        <f>(AP14*0.2+AP14)</f>
        <v>141.6</v>
      </c>
      <c r="AT14" s="68">
        <f>(AP14-AP14*0.2)</f>
        <v>94.4</v>
      </c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>
        <v>2</v>
      </c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>
        <v>2600</v>
      </c>
      <c r="CA14" s="68">
        <v>1500</v>
      </c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>
        <v>0</v>
      </c>
      <c r="CP14" s="68"/>
      <c r="CQ14" s="68"/>
      <c r="CR14" s="68"/>
      <c r="CS14" s="68"/>
      <c r="CT14" s="68"/>
      <c r="CU14" s="68">
        <v>600</v>
      </c>
      <c r="CV14" s="68">
        <f t="shared" si="6"/>
        <v>2600</v>
      </c>
      <c r="CW14" s="108">
        <v>0.70208333333333339</v>
      </c>
      <c r="CX14" s="108">
        <v>0.81944444444444453</v>
      </c>
      <c r="CY14" s="103">
        <f t="shared" si="10"/>
        <v>0.11736111111111114</v>
      </c>
      <c r="CZ14" s="104">
        <f t="shared" si="9"/>
        <v>169.00000000000003</v>
      </c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8"/>
      <c r="DL14" s="68"/>
      <c r="DM14" s="68"/>
      <c r="DN14" s="68"/>
      <c r="DO14" s="78"/>
      <c r="DP14" s="78"/>
      <c r="DQ14" s="68"/>
      <c r="DR14" s="68"/>
      <c r="DS14" s="68"/>
      <c r="DT14" s="67">
        <v>4</v>
      </c>
      <c r="DU14" s="67">
        <v>9</v>
      </c>
      <c r="DV14" s="67">
        <v>9</v>
      </c>
      <c r="DW14" s="67">
        <v>8</v>
      </c>
      <c r="DX14" s="67">
        <v>7</v>
      </c>
      <c r="DY14" s="73">
        <v>8.6999999999999993</v>
      </c>
      <c r="DZ14" s="68"/>
      <c r="EA14" s="68"/>
      <c r="EB14" s="68"/>
      <c r="EC14" s="124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8"/>
      <c r="ER14" s="68"/>
      <c r="ES14" s="68"/>
      <c r="ET14" s="68"/>
      <c r="EU14" s="68"/>
      <c r="EV14" s="68"/>
      <c r="EW14" s="68"/>
      <c r="EX14" s="68"/>
      <c r="EY14" s="68"/>
      <c r="EZ14" s="68">
        <v>0</v>
      </c>
      <c r="FA14" s="69">
        <v>41407</v>
      </c>
      <c r="FB14" s="71">
        <f t="shared" si="8"/>
        <v>11</v>
      </c>
      <c r="FC14" s="68"/>
      <c r="FD14" s="79"/>
    </row>
    <row r="15" spans="1:186" s="76" customFormat="1" x14ac:dyDescent="0.25">
      <c r="A15" s="111" t="s">
        <v>311</v>
      </c>
      <c r="B15" s="68">
        <v>20824207</v>
      </c>
      <c r="C15" s="68" t="s">
        <v>157</v>
      </c>
      <c r="D15" s="68" t="str">
        <f t="shared" si="0"/>
        <v xml:space="preserve">53 Y 11 M </v>
      </c>
      <c r="E15" s="68">
        <v>2</v>
      </c>
      <c r="F15" s="69">
        <v>21704</v>
      </c>
      <c r="G15" s="69">
        <v>41402</v>
      </c>
      <c r="H15" s="73" t="s">
        <v>252</v>
      </c>
      <c r="I15" s="73">
        <v>47.9</v>
      </c>
      <c r="J15" s="73" t="s">
        <v>252</v>
      </c>
      <c r="K15" s="74" t="s">
        <v>252</v>
      </c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73">
        <v>12.2</v>
      </c>
      <c r="AL15" s="68"/>
      <c r="AM15" s="68"/>
      <c r="AN15" s="68"/>
      <c r="AO15" s="68"/>
      <c r="AP15" s="68" t="s">
        <v>252</v>
      </c>
      <c r="AQ15" s="68" t="s">
        <v>252</v>
      </c>
      <c r="AR15" s="73" t="s">
        <v>252</v>
      </c>
      <c r="AS15" s="68" t="s">
        <v>252</v>
      </c>
      <c r="AT15" s="68" t="s">
        <v>252</v>
      </c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>
        <v>4500</v>
      </c>
      <c r="CA15" s="68">
        <v>250</v>
      </c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>
        <v>0</v>
      </c>
      <c r="CP15" s="68"/>
      <c r="CQ15" s="68"/>
      <c r="CR15" s="68"/>
      <c r="CS15" s="68"/>
      <c r="CT15" s="68"/>
      <c r="CU15" s="68">
        <v>500</v>
      </c>
      <c r="CV15" s="68">
        <f t="shared" si="6"/>
        <v>4500</v>
      </c>
      <c r="CW15" s="108">
        <v>0.62777777777777777</v>
      </c>
      <c r="CX15" s="108">
        <v>0.69097222222222221</v>
      </c>
      <c r="CY15" s="103">
        <f t="shared" si="10"/>
        <v>6.3194444444444442E-2</v>
      </c>
      <c r="CZ15" s="104">
        <f t="shared" si="9"/>
        <v>91</v>
      </c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78"/>
      <c r="DP15" s="78"/>
      <c r="DQ15" s="68"/>
      <c r="DR15" s="68"/>
      <c r="DS15" s="68"/>
      <c r="DT15" s="67"/>
      <c r="DU15" s="67"/>
      <c r="DV15" s="67">
        <v>3</v>
      </c>
      <c r="DW15" s="67">
        <v>4</v>
      </c>
      <c r="DX15" s="67">
        <v>6</v>
      </c>
      <c r="DY15" s="73">
        <v>10.1</v>
      </c>
      <c r="DZ15" s="68"/>
      <c r="EA15" s="68"/>
      <c r="EB15" s="68"/>
      <c r="EC15" s="124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>
        <v>0</v>
      </c>
      <c r="FA15" s="69">
        <v>41424</v>
      </c>
      <c r="FB15" s="71">
        <f t="shared" si="8"/>
        <v>22</v>
      </c>
      <c r="FC15" s="68"/>
    </row>
    <row r="16" spans="1:186" s="76" customFormat="1" x14ac:dyDescent="0.25">
      <c r="A16" s="111" t="s">
        <v>310</v>
      </c>
      <c r="B16" s="68">
        <v>20733093</v>
      </c>
      <c r="C16" s="68" t="s">
        <v>157</v>
      </c>
      <c r="D16" s="68" t="str">
        <f t="shared" si="0"/>
        <v xml:space="preserve">59 Y 10 M </v>
      </c>
      <c r="E16" s="68">
        <v>2</v>
      </c>
      <c r="F16" s="69">
        <v>19530</v>
      </c>
      <c r="G16" s="69">
        <v>41403</v>
      </c>
      <c r="H16" s="73">
        <v>172.2</v>
      </c>
      <c r="I16" s="73">
        <v>84.3</v>
      </c>
      <c r="J16" s="73">
        <f t="shared" ref="J16:J40" si="11">IF(E16=1,50+2.3*(H16*0.393701-60),IF(E16=2,45.5+2.3*(H16*0.393701-60)))</f>
        <v>63.429218059999997</v>
      </c>
      <c r="K16" s="74">
        <f t="shared" ref="K16:K40" si="12">I16/((H16/100)*(H16/100))</f>
        <v>28.428980158392921</v>
      </c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73">
        <v>12.4</v>
      </c>
      <c r="AL16" s="68"/>
      <c r="AM16" s="68"/>
      <c r="AN16" s="68"/>
      <c r="AO16" s="68"/>
      <c r="AP16" s="68">
        <v>154</v>
      </c>
      <c r="AQ16" s="68">
        <v>68</v>
      </c>
      <c r="AR16" s="73">
        <f>((AP16-AQ16)*1/3)+AQ16</f>
        <v>96.666666666666671</v>
      </c>
      <c r="AS16" s="68">
        <f>(AP16*0.2+AP16)</f>
        <v>184.8</v>
      </c>
      <c r="AT16" s="68">
        <f>(AP16-AP16*0.2)</f>
        <v>123.2</v>
      </c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>
        <v>71</v>
      </c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>
        <v>4400</v>
      </c>
      <c r="CA16" s="68">
        <v>1000</v>
      </c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>
        <v>0</v>
      </c>
      <c r="CP16" s="68"/>
      <c r="CQ16" s="68"/>
      <c r="CR16" s="68"/>
      <c r="CS16" s="68"/>
      <c r="CT16" s="68"/>
      <c r="CU16" s="68">
        <v>700</v>
      </c>
      <c r="CV16" s="68">
        <f t="shared" si="6"/>
        <v>4400</v>
      </c>
      <c r="CW16" s="68" t="s">
        <v>335</v>
      </c>
      <c r="CX16" s="68" t="s">
        <v>335</v>
      </c>
      <c r="CY16" s="103"/>
      <c r="CZ16" s="104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78"/>
      <c r="DP16" s="78"/>
      <c r="DQ16" s="68"/>
      <c r="DR16" s="68"/>
      <c r="DS16" s="68"/>
      <c r="DT16" s="67"/>
      <c r="DU16" s="67"/>
      <c r="DV16" s="67">
        <v>5</v>
      </c>
      <c r="DW16" s="67">
        <v>6</v>
      </c>
      <c r="DX16" s="67">
        <v>6</v>
      </c>
      <c r="DY16" s="73">
        <v>9.8000000000000007</v>
      </c>
      <c r="DZ16" s="68"/>
      <c r="EA16" s="68"/>
      <c r="EB16" s="68"/>
      <c r="EC16" s="124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>
        <v>1</v>
      </c>
      <c r="FA16" s="69">
        <v>41424</v>
      </c>
      <c r="FB16" s="71">
        <f t="shared" si="8"/>
        <v>21</v>
      </c>
      <c r="FC16" s="68"/>
      <c r="FE16" s="79"/>
      <c r="FF16" s="79"/>
      <c r="FG16" s="79"/>
      <c r="FH16" s="79"/>
      <c r="FI16" s="79"/>
      <c r="FJ16" s="79"/>
      <c r="FK16" s="79"/>
      <c r="FL16" s="79"/>
      <c r="FM16" s="79"/>
      <c r="FN16" s="79"/>
      <c r="FO16" s="79"/>
      <c r="FP16" s="79"/>
      <c r="FQ16" s="79"/>
      <c r="FR16" s="79"/>
      <c r="FS16" s="79"/>
      <c r="FT16" s="79"/>
      <c r="FU16" s="79"/>
      <c r="FV16" s="79"/>
      <c r="FW16" s="79"/>
      <c r="FX16" s="79"/>
      <c r="FY16" s="79"/>
      <c r="FZ16" s="79"/>
      <c r="GA16" s="79"/>
      <c r="GB16" s="79"/>
      <c r="GC16" s="79"/>
      <c r="GD16" s="79"/>
    </row>
    <row r="17" spans="1:159" s="76" customFormat="1" x14ac:dyDescent="0.25">
      <c r="A17" s="111" t="s">
        <v>308</v>
      </c>
      <c r="B17" s="68">
        <v>42181305</v>
      </c>
      <c r="C17" s="68" t="s">
        <v>157</v>
      </c>
      <c r="D17" s="68" t="str">
        <f t="shared" si="0"/>
        <v xml:space="preserve">46 Y 2 M </v>
      </c>
      <c r="E17" s="68">
        <v>2</v>
      </c>
      <c r="F17" s="69">
        <v>24523</v>
      </c>
      <c r="G17" s="69">
        <v>41410</v>
      </c>
      <c r="H17" s="73">
        <v>164.5</v>
      </c>
      <c r="I17" s="73">
        <v>39.700000000000003</v>
      </c>
      <c r="J17" s="73">
        <f t="shared" si="11"/>
        <v>56.45677335000002</v>
      </c>
      <c r="K17" s="74">
        <f t="shared" si="12"/>
        <v>14.670965715394352</v>
      </c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80" t="s">
        <v>255</v>
      </c>
      <c r="AL17" s="68"/>
      <c r="AM17" s="68"/>
      <c r="AN17" s="68"/>
      <c r="AO17" s="68"/>
      <c r="AP17" s="68">
        <v>95</v>
      </c>
      <c r="AQ17" s="68">
        <v>56</v>
      </c>
      <c r="AR17" s="73">
        <f>((AP17-AQ17)*1/3)+AQ17</f>
        <v>69</v>
      </c>
      <c r="AS17" s="68">
        <f>(AP17*0.2+AP17)</f>
        <v>114</v>
      </c>
      <c r="AT17" s="68">
        <f>(AP17-AP17*0.2)</f>
        <v>76</v>
      </c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>
        <v>2</v>
      </c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>
        <v>2800</v>
      </c>
      <c r="CA17" s="68">
        <v>500</v>
      </c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>
        <v>0</v>
      </c>
      <c r="CP17" s="68"/>
      <c r="CQ17" s="68"/>
      <c r="CR17" s="68"/>
      <c r="CS17" s="68"/>
      <c r="CT17" s="68"/>
      <c r="CU17" s="68">
        <v>300</v>
      </c>
      <c r="CV17" s="68">
        <f t="shared" si="6"/>
        <v>2800</v>
      </c>
      <c r="CW17" s="108">
        <v>0.50972222222222219</v>
      </c>
      <c r="CX17" s="108">
        <v>0.64513888888888882</v>
      </c>
      <c r="CY17" s="103">
        <f>CX17-CW17</f>
        <v>0.13541666666666663</v>
      </c>
      <c r="CZ17" s="104">
        <f t="shared" si="9"/>
        <v>194.99999999999994</v>
      </c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78"/>
      <c r="DP17" s="78"/>
      <c r="DQ17" s="68"/>
      <c r="DR17" s="68"/>
      <c r="DS17" s="68"/>
      <c r="DT17" s="67">
        <v>10</v>
      </c>
      <c r="DU17" s="67">
        <v>8</v>
      </c>
      <c r="DV17" s="67">
        <v>10</v>
      </c>
      <c r="DW17" s="67">
        <v>6</v>
      </c>
      <c r="DX17" s="67">
        <v>8</v>
      </c>
      <c r="DY17" s="73">
        <v>9.8000000000000007</v>
      </c>
      <c r="DZ17" s="68"/>
      <c r="EA17" s="68"/>
      <c r="EB17" s="68"/>
      <c r="EC17" s="124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>
        <v>0</v>
      </c>
      <c r="FA17" s="69">
        <v>41417</v>
      </c>
      <c r="FB17" s="71">
        <f t="shared" si="8"/>
        <v>7</v>
      </c>
      <c r="FC17" s="68"/>
    </row>
    <row r="18" spans="1:159" s="76" customFormat="1" x14ac:dyDescent="0.25">
      <c r="A18" s="111" t="s">
        <v>371</v>
      </c>
      <c r="B18" s="68">
        <v>42203687</v>
      </c>
      <c r="C18" s="68" t="s">
        <v>157</v>
      </c>
      <c r="D18" s="68" t="str">
        <f t="shared" si="0"/>
        <v xml:space="preserve">77 Y 4 M </v>
      </c>
      <c r="E18" s="68">
        <v>1</v>
      </c>
      <c r="F18" s="69">
        <v>13155</v>
      </c>
      <c r="G18" s="69">
        <v>41417</v>
      </c>
      <c r="H18" s="73">
        <v>167.64</v>
      </c>
      <c r="I18" s="73">
        <v>78</v>
      </c>
      <c r="J18" s="73">
        <f t="shared" si="11"/>
        <v>63.800081971999987</v>
      </c>
      <c r="K18" s="74">
        <f t="shared" si="12"/>
        <v>27.754876446392014</v>
      </c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80"/>
      <c r="AL18" s="68"/>
      <c r="AM18" s="68"/>
      <c r="AN18" s="68"/>
      <c r="AO18" s="68"/>
      <c r="AP18" s="68"/>
      <c r="AQ18" s="68"/>
      <c r="AR18" s="73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108">
        <v>0.63958333333333328</v>
      </c>
      <c r="CX18" s="108">
        <v>0.73263888888888884</v>
      </c>
      <c r="CY18" s="103">
        <f>CX18-CW18</f>
        <v>9.3055555555555558E-2</v>
      </c>
      <c r="CZ18" s="104">
        <f t="shared" si="9"/>
        <v>134</v>
      </c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78"/>
      <c r="DP18" s="78"/>
      <c r="DQ18" s="68"/>
      <c r="DR18" s="68"/>
      <c r="DS18" s="68"/>
      <c r="DT18" s="67"/>
      <c r="DU18" s="67"/>
      <c r="DV18" s="67"/>
      <c r="DW18" s="67"/>
      <c r="DX18" s="67"/>
      <c r="DY18" s="73"/>
      <c r="DZ18" s="68"/>
      <c r="EA18" s="68"/>
      <c r="EB18" s="68"/>
      <c r="EC18" s="124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9">
        <v>41426</v>
      </c>
      <c r="FB18" s="71">
        <f t="shared" si="8"/>
        <v>9</v>
      </c>
      <c r="FC18" s="68"/>
    </row>
    <row r="19" spans="1:159" s="76" customFormat="1" x14ac:dyDescent="0.25">
      <c r="A19" s="111" t="s">
        <v>306</v>
      </c>
      <c r="B19" s="68">
        <v>42210054</v>
      </c>
      <c r="C19" s="68" t="s">
        <v>157</v>
      </c>
      <c r="D19" s="68" t="str">
        <f t="shared" si="0"/>
        <v xml:space="preserve">56 Y 5 M </v>
      </c>
      <c r="E19" s="68">
        <v>2</v>
      </c>
      <c r="F19" s="69">
        <v>20808</v>
      </c>
      <c r="G19" s="69">
        <v>41418</v>
      </c>
      <c r="H19" s="73">
        <v>164</v>
      </c>
      <c r="I19" s="73">
        <v>57.6</v>
      </c>
      <c r="J19" s="73">
        <f t="shared" si="11"/>
        <v>56.004017199999993</v>
      </c>
      <c r="K19" s="74">
        <f t="shared" si="12"/>
        <v>21.415823914336709</v>
      </c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73">
        <v>10.199999999999999</v>
      </c>
      <c r="AL19" s="68"/>
      <c r="AM19" s="68"/>
      <c r="AN19" s="68"/>
      <c r="AO19" s="68"/>
      <c r="AP19" s="68">
        <v>107</v>
      </c>
      <c r="AQ19" s="68">
        <v>63</v>
      </c>
      <c r="AR19" s="73">
        <f>((AP19-AQ19)*1/3)+AQ19</f>
        <v>77.666666666666671</v>
      </c>
      <c r="AS19" s="68">
        <f>(AP19*0.2+AP19)</f>
        <v>128.4</v>
      </c>
      <c r="AT19" s="68">
        <f>(AP19-AP19*0.2)</f>
        <v>85.6</v>
      </c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>
        <v>0</v>
      </c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>
        <v>5000</v>
      </c>
      <c r="CA19" s="68">
        <v>750</v>
      </c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>
        <v>2</v>
      </c>
      <c r="CP19" s="68"/>
      <c r="CQ19" s="68"/>
      <c r="CR19" s="68"/>
      <c r="CS19" s="68"/>
      <c r="CT19" s="68"/>
      <c r="CU19" s="68">
        <v>500</v>
      </c>
      <c r="CV19" s="68">
        <f>BZ19</f>
        <v>5000</v>
      </c>
      <c r="CW19" s="108">
        <v>0.5756944444444444</v>
      </c>
      <c r="CX19" s="108">
        <v>0.66666666666666663</v>
      </c>
      <c r="CY19" s="103">
        <f>CX19-CW19</f>
        <v>9.0972222222222232E-2</v>
      </c>
      <c r="CZ19" s="104">
        <f t="shared" si="9"/>
        <v>131</v>
      </c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78"/>
      <c r="DP19" s="78"/>
      <c r="DQ19" s="68"/>
      <c r="DR19" s="68"/>
      <c r="DS19" s="68"/>
      <c r="DT19" s="67">
        <v>2</v>
      </c>
      <c r="DU19" s="67">
        <v>1</v>
      </c>
      <c r="DV19" s="67"/>
      <c r="DW19" s="67">
        <v>0</v>
      </c>
      <c r="DX19" s="67">
        <v>0</v>
      </c>
      <c r="DY19" s="73">
        <v>11.6</v>
      </c>
      <c r="DZ19" s="68"/>
      <c r="EA19" s="68"/>
      <c r="EB19" s="68"/>
      <c r="EC19" s="124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>
        <v>0</v>
      </c>
      <c r="FA19" s="69">
        <v>41424</v>
      </c>
      <c r="FB19" s="71">
        <f t="shared" si="8"/>
        <v>6</v>
      </c>
      <c r="FC19" s="68"/>
    </row>
    <row r="20" spans="1:159" s="76" customFormat="1" x14ac:dyDescent="0.25">
      <c r="A20" s="111" t="s">
        <v>304</v>
      </c>
      <c r="B20" s="68">
        <v>42129791</v>
      </c>
      <c r="C20" s="68" t="s">
        <v>157</v>
      </c>
      <c r="D20" s="68" t="str">
        <f t="shared" si="0"/>
        <v xml:space="preserve">60 Y 11 M </v>
      </c>
      <c r="E20" s="68">
        <v>1</v>
      </c>
      <c r="F20" s="69">
        <v>19188</v>
      </c>
      <c r="G20" s="69">
        <v>41439</v>
      </c>
      <c r="H20" s="73">
        <v>170</v>
      </c>
      <c r="I20" s="73">
        <v>70.2</v>
      </c>
      <c r="J20" s="73">
        <f t="shared" si="11"/>
        <v>65.937090999999995</v>
      </c>
      <c r="K20" s="74">
        <f t="shared" si="12"/>
        <v>24.29065743944637</v>
      </c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73">
        <v>12</v>
      </c>
      <c r="AL20" s="68"/>
      <c r="AM20" s="68"/>
      <c r="AN20" s="68"/>
      <c r="AO20" s="68"/>
      <c r="AP20" s="68">
        <v>123</v>
      </c>
      <c r="AQ20" s="68">
        <v>57</v>
      </c>
      <c r="AR20" s="73">
        <f>((AP20-AQ20)*1/3)+AQ20</f>
        <v>79</v>
      </c>
      <c r="AS20" s="68">
        <f>(AP20*0.2+AP20)</f>
        <v>147.6</v>
      </c>
      <c r="AT20" s="68">
        <f>(AP20-AP20*0.2)</f>
        <v>98.4</v>
      </c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>
        <v>11</v>
      </c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>
        <v>3000</v>
      </c>
      <c r="CA20" s="68">
        <v>500</v>
      </c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>
        <v>1</v>
      </c>
      <c r="CP20" s="68"/>
      <c r="CQ20" s="68"/>
      <c r="CR20" s="68"/>
      <c r="CS20" s="68"/>
      <c r="CT20" s="68"/>
      <c r="CU20" s="68">
        <v>400</v>
      </c>
      <c r="CV20" s="68">
        <f>BZ20</f>
        <v>3000</v>
      </c>
      <c r="CW20" s="68" t="s">
        <v>336</v>
      </c>
      <c r="CX20" s="68" t="s">
        <v>336</v>
      </c>
      <c r="CY20" s="103"/>
      <c r="CZ20" s="104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78"/>
      <c r="DP20" s="78"/>
      <c r="DQ20" s="68"/>
      <c r="DR20" s="68"/>
      <c r="DS20" s="68"/>
      <c r="DT20" s="67">
        <v>0</v>
      </c>
      <c r="DU20" s="67">
        <v>0</v>
      </c>
      <c r="DV20" s="67">
        <v>5</v>
      </c>
      <c r="DW20" s="67">
        <v>2</v>
      </c>
      <c r="DX20" s="67">
        <v>0</v>
      </c>
      <c r="DY20" s="73">
        <v>10.9</v>
      </c>
      <c r="DZ20" s="68"/>
      <c r="EA20" s="68"/>
      <c r="EB20" s="68"/>
      <c r="EC20" s="124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>
        <v>2</v>
      </c>
      <c r="FA20" s="69">
        <v>41453</v>
      </c>
      <c r="FB20" s="71">
        <f t="shared" si="8"/>
        <v>14</v>
      </c>
      <c r="FC20" s="68"/>
    </row>
    <row r="21" spans="1:159" s="76" customFormat="1" x14ac:dyDescent="0.25">
      <c r="A21" s="111" t="s">
        <v>303</v>
      </c>
      <c r="B21" s="68">
        <v>42283572</v>
      </c>
      <c r="C21" s="68" t="s">
        <v>157</v>
      </c>
      <c r="D21" s="68" t="str">
        <f t="shared" si="0"/>
        <v xml:space="preserve">61 Y 3 M </v>
      </c>
      <c r="E21" s="68">
        <v>1</v>
      </c>
      <c r="F21" s="69">
        <v>19058</v>
      </c>
      <c r="G21" s="69">
        <v>41446</v>
      </c>
      <c r="H21" s="73">
        <v>174.6</v>
      </c>
      <c r="I21" s="73">
        <v>67.599999999999994</v>
      </c>
      <c r="J21" s="73">
        <f t="shared" si="11"/>
        <v>70.102447579999989</v>
      </c>
      <c r="K21" s="74">
        <f t="shared" si="12"/>
        <v>22.174723701630562</v>
      </c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73">
        <v>14.2</v>
      </c>
      <c r="AL21" s="68"/>
      <c r="AM21" s="68"/>
      <c r="AN21" s="68"/>
      <c r="AO21" s="68"/>
      <c r="AP21" s="68">
        <v>111</v>
      </c>
      <c r="AQ21" s="68">
        <v>71</v>
      </c>
      <c r="AR21" s="73">
        <f>((AP21-AQ21)*1/3)+AQ21</f>
        <v>84.333333333333329</v>
      </c>
      <c r="AS21" s="68">
        <f>(AP21*0.2+AP21)</f>
        <v>133.19999999999999</v>
      </c>
      <c r="AT21" s="68">
        <f>(AP21-AP21*0.2)</f>
        <v>88.8</v>
      </c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>
        <v>6</v>
      </c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>
        <v>5300</v>
      </c>
      <c r="CA21" s="68">
        <v>1000</v>
      </c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>
        <v>2</v>
      </c>
      <c r="CP21" s="68"/>
      <c r="CQ21" s="68"/>
      <c r="CR21" s="68"/>
      <c r="CS21" s="68"/>
      <c r="CT21" s="68"/>
      <c r="CU21" s="68">
        <v>900</v>
      </c>
      <c r="CV21" s="68">
        <f>BZ21</f>
        <v>5300</v>
      </c>
      <c r="CW21" s="108">
        <v>0.55347222222222225</v>
      </c>
      <c r="CX21" s="108">
        <v>0.72916666666666663</v>
      </c>
      <c r="CY21" s="103">
        <f>CX21-CW21</f>
        <v>0.17569444444444438</v>
      </c>
      <c r="CZ21" s="104">
        <f t="shared" si="9"/>
        <v>252.99999999999989</v>
      </c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78"/>
      <c r="DP21" s="78"/>
      <c r="DQ21" s="68"/>
      <c r="DR21" s="68"/>
      <c r="DS21" s="68"/>
      <c r="DT21" s="67">
        <v>6</v>
      </c>
      <c r="DU21" s="67">
        <v>5</v>
      </c>
      <c r="DV21" s="67">
        <v>5</v>
      </c>
      <c r="DW21" s="67">
        <v>5</v>
      </c>
      <c r="DX21" s="67">
        <v>8</v>
      </c>
      <c r="DY21" s="73">
        <v>10.8</v>
      </c>
      <c r="DZ21" s="68"/>
      <c r="EA21" s="68"/>
      <c r="EB21" s="68"/>
      <c r="EC21" s="124"/>
      <c r="ED21" s="68"/>
      <c r="EE21" s="68"/>
      <c r="EF21" s="68"/>
      <c r="EG21" s="68"/>
      <c r="EH21" s="68"/>
      <c r="EI21" s="68"/>
      <c r="EJ21" s="68"/>
      <c r="EK21" s="68"/>
      <c r="EL21" s="68"/>
      <c r="EM21" s="68"/>
      <c r="EN21" s="68"/>
      <c r="EO21" s="68"/>
      <c r="EP21" s="68"/>
      <c r="EQ21" s="68"/>
      <c r="ER21" s="68"/>
      <c r="ES21" s="68"/>
      <c r="ET21" s="68"/>
      <c r="EU21" s="68"/>
      <c r="EV21" s="68"/>
      <c r="EW21" s="68"/>
      <c r="EX21" s="68"/>
      <c r="EY21" s="68"/>
      <c r="EZ21" s="68">
        <v>0</v>
      </c>
      <c r="FA21" s="69">
        <v>41453</v>
      </c>
      <c r="FB21" s="71">
        <f t="shared" si="8"/>
        <v>7</v>
      </c>
      <c r="FC21" s="68"/>
    </row>
    <row r="22" spans="1:159" s="76" customFormat="1" x14ac:dyDescent="0.25">
      <c r="A22" s="111" t="s">
        <v>372</v>
      </c>
      <c r="B22" s="68">
        <v>15490857</v>
      </c>
      <c r="C22" s="68" t="s">
        <v>157</v>
      </c>
      <c r="D22" s="68" t="str">
        <f t="shared" si="0"/>
        <v xml:space="preserve">68 Y 10 M </v>
      </c>
      <c r="E22" s="68">
        <v>1</v>
      </c>
      <c r="F22" s="69">
        <v>16284</v>
      </c>
      <c r="G22" s="69">
        <v>41452</v>
      </c>
      <c r="H22" s="73">
        <v>180</v>
      </c>
      <c r="I22" s="73">
        <v>96.6</v>
      </c>
      <c r="J22" s="73">
        <f t="shared" si="11"/>
        <v>74.99221399999999</v>
      </c>
      <c r="K22" s="74">
        <f t="shared" si="12"/>
        <v>29.81481481481481</v>
      </c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73"/>
      <c r="AL22" s="68"/>
      <c r="AM22" s="68"/>
      <c r="AN22" s="68"/>
      <c r="AO22" s="68"/>
      <c r="AP22" s="68"/>
      <c r="AQ22" s="68"/>
      <c r="AR22" s="73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108">
        <v>0.60625000000000007</v>
      </c>
      <c r="CX22" s="108">
        <v>0.67361111111111116</v>
      </c>
      <c r="CY22" s="103">
        <f>CX22-CW22</f>
        <v>6.7361111111111094E-2</v>
      </c>
      <c r="CZ22" s="104">
        <f t="shared" si="9"/>
        <v>96.999999999999972</v>
      </c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78"/>
      <c r="DP22" s="78"/>
      <c r="DQ22" s="68"/>
      <c r="DR22" s="68"/>
      <c r="DS22" s="68"/>
      <c r="DT22" s="67"/>
      <c r="DU22" s="67"/>
      <c r="DV22" s="67"/>
      <c r="DW22" s="67"/>
      <c r="DX22" s="67"/>
      <c r="DY22" s="73"/>
      <c r="DZ22" s="68"/>
      <c r="EA22" s="68"/>
      <c r="EB22" s="68"/>
      <c r="EC22" s="124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9">
        <v>41460</v>
      </c>
      <c r="FB22" s="71">
        <f t="shared" si="8"/>
        <v>8</v>
      </c>
      <c r="FC22" s="68"/>
    </row>
    <row r="23" spans="1:159" s="76" customFormat="1" x14ac:dyDescent="0.25">
      <c r="A23" s="111" t="s">
        <v>300</v>
      </c>
      <c r="B23" s="68">
        <v>42245555</v>
      </c>
      <c r="C23" s="68" t="s">
        <v>157</v>
      </c>
      <c r="D23" s="68" t="str">
        <f t="shared" si="0"/>
        <v xml:space="preserve">61 Y 7 M </v>
      </c>
      <c r="E23" s="68">
        <v>1</v>
      </c>
      <c r="F23" s="69">
        <v>18983</v>
      </c>
      <c r="G23" s="69">
        <v>41494</v>
      </c>
      <c r="H23" s="73">
        <v>168.1</v>
      </c>
      <c r="I23" s="73">
        <v>104</v>
      </c>
      <c r="J23" s="73">
        <f t="shared" si="11"/>
        <v>64.216617630000002</v>
      </c>
      <c r="K23" s="74">
        <f t="shared" si="12"/>
        <v>36.804244944990039</v>
      </c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73">
        <v>15.1</v>
      </c>
      <c r="AL23" s="68"/>
      <c r="AM23" s="68"/>
      <c r="AN23" s="68"/>
      <c r="AO23" s="68"/>
      <c r="AP23" s="68">
        <v>151</v>
      </c>
      <c r="AQ23" s="68">
        <v>72</v>
      </c>
      <c r="AR23" s="73">
        <f t="shared" ref="AR23:AR32" si="13">((AP23-AQ23)*1/3)+AQ23</f>
        <v>98.333333333333329</v>
      </c>
      <c r="AS23" s="68">
        <f t="shared" ref="AS23:AS32" si="14">(AP23*0.2+AP23)</f>
        <v>181.2</v>
      </c>
      <c r="AT23" s="68">
        <f t="shared" ref="AT23:AT32" si="15">(AP23-AP23*0.2)</f>
        <v>120.8</v>
      </c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>
        <v>36</v>
      </c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>
        <v>4400</v>
      </c>
      <c r="CA23" s="68">
        <v>750</v>
      </c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>
        <v>0</v>
      </c>
      <c r="CP23" s="68"/>
      <c r="CQ23" s="68"/>
      <c r="CR23" s="68"/>
      <c r="CS23" s="68"/>
      <c r="CT23" s="68"/>
      <c r="CU23" s="68">
        <v>1000</v>
      </c>
      <c r="CV23" s="68">
        <f t="shared" ref="CV23:CV32" si="16">BZ23</f>
        <v>4400</v>
      </c>
      <c r="CW23" s="108">
        <v>0.78125</v>
      </c>
      <c r="CX23" s="108">
        <v>0.83888888888888891</v>
      </c>
      <c r="CY23" s="103">
        <f>CX23-CW23</f>
        <v>5.7638888888888906E-2</v>
      </c>
      <c r="CZ23" s="104">
        <f t="shared" si="9"/>
        <v>83.000000000000028</v>
      </c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78"/>
      <c r="DP23" s="78"/>
      <c r="DQ23" s="68"/>
      <c r="DR23" s="68"/>
      <c r="DS23" s="68"/>
      <c r="DT23" s="67">
        <v>0</v>
      </c>
      <c r="DU23" s="67">
        <v>3</v>
      </c>
      <c r="DV23" s="67">
        <v>0</v>
      </c>
      <c r="DW23" s="67">
        <v>2</v>
      </c>
      <c r="DX23" s="67">
        <v>3</v>
      </c>
      <c r="DY23" s="73">
        <v>11.7</v>
      </c>
      <c r="DZ23" s="68"/>
      <c r="EA23" s="68"/>
      <c r="EB23" s="68"/>
      <c r="EC23" s="124"/>
      <c r="ED23" s="68"/>
      <c r="EE23" s="68"/>
      <c r="EF23" s="68"/>
      <c r="EG23" s="68"/>
      <c r="EH23" s="68"/>
      <c r="EI23" s="68"/>
      <c r="EJ23" s="68"/>
      <c r="EK23" s="68"/>
      <c r="EL23" s="68"/>
      <c r="EM23" s="68"/>
      <c r="EN23" s="68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>
        <v>0</v>
      </c>
      <c r="FA23" s="69">
        <v>41505</v>
      </c>
      <c r="FB23" s="71">
        <f t="shared" si="8"/>
        <v>11</v>
      </c>
      <c r="FC23" s="68"/>
    </row>
    <row r="24" spans="1:159" s="76" customFormat="1" x14ac:dyDescent="0.25">
      <c r="A24" s="111" t="s">
        <v>299</v>
      </c>
      <c r="B24" s="68">
        <v>20872933</v>
      </c>
      <c r="C24" s="68" t="s">
        <v>157</v>
      </c>
      <c r="D24" s="68" t="str">
        <f t="shared" si="0"/>
        <v xml:space="preserve">42 Y 10 M </v>
      </c>
      <c r="E24" s="68">
        <v>1</v>
      </c>
      <c r="F24" s="69">
        <v>25855</v>
      </c>
      <c r="G24" s="69">
        <v>41508</v>
      </c>
      <c r="H24" s="73">
        <v>162</v>
      </c>
      <c r="I24" s="73">
        <v>69.7</v>
      </c>
      <c r="J24" s="73">
        <f t="shared" si="11"/>
        <v>58.692992600000011</v>
      </c>
      <c r="K24" s="74">
        <f t="shared" si="12"/>
        <v>26.558451455570793</v>
      </c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73">
        <v>13.7</v>
      </c>
      <c r="AL24" s="68"/>
      <c r="AM24" s="68"/>
      <c r="AN24" s="68"/>
      <c r="AO24" s="68"/>
      <c r="AP24" s="68">
        <v>131</v>
      </c>
      <c r="AQ24" s="68">
        <v>84</v>
      </c>
      <c r="AR24" s="73">
        <f t="shared" si="13"/>
        <v>99.666666666666671</v>
      </c>
      <c r="AS24" s="68">
        <f t="shared" si="14"/>
        <v>157.19999999999999</v>
      </c>
      <c r="AT24" s="68">
        <f t="shared" si="15"/>
        <v>104.8</v>
      </c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>
        <v>4</v>
      </c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>
        <v>6500</v>
      </c>
      <c r="CA24" s="68">
        <v>1250</v>
      </c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>
        <v>0</v>
      </c>
      <c r="CP24" s="68"/>
      <c r="CQ24" s="68"/>
      <c r="CR24" s="68"/>
      <c r="CS24" s="68"/>
      <c r="CT24" s="68"/>
      <c r="CU24" s="68">
        <v>1000</v>
      </c>
      <c r="CV24" s="68">
        <f t="shared" si="16"/>
        <v>6500</v>
      </c>
      <c r="CW24" s="108">
        <v>0.67569444444444438</v>
      </c>
      <c r="CX24" s="108">
        <v>0.72777777777777775</v>
      </c>
      <c r="CY24" s="103">
        <f>CX24-CW24</f>
        <v>5.208333333333337E-2</v>
      </c>
      <c r="CZ24" s="104">
        <f t="shared" si="9"/>
        <v>75.000000000000057</v>
      </c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78"/>
      <c r="DP24" s="78"/>
      <c r="DQ24" s="68"/>
      <c r="DR24" s="68"/>
      <c r="DS24" s="68"/>
      <c r="DT24" s="67">
        <v>7</v>
      </c>
      <c r="DU24" s="67">
        <v>5</v>
      </c>
      <c r="DV24" s="67">
        <v>4</v>
      </c>
      <c r="DW24" s="67">
        <v>2</v>
      </c>
      <c r="DX24" s="67"/>
      <c r="DY24" s="73">
        <v>9.1</v>
      </c>
      <c r="DZ24" s="68"/>
      <c r="EA24" s="68"/>
      <c r="EB24" s="68"/>
      <c r="EC24" s="124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>
        <v>0</v>
      </c>
      <c r="FA24" s="69">
        <v>41516</v>
      </c>
      <c r="FB24" s="71">
        <f t="shared" si="8"/>
        <v>8</v>
      </c>
      <c r="FC24" s="68"/>
    </row>
    <row r="25" spans="1:159" s="76" customFormat="1" x14ac:dyDescent="0.25">
      <c r="A25" s="111" t="s">
        <v>298</v>
      </c>
      <c r="B25" s="68">
        <v>42254698</v>
      </c>
      <c r="C25" s="68" t="s">
        <v>157</v>
      </c>
      <c r="D25" s="68" t="str">
        <f t="shared" si="0"/>
        <v xml:space="preserve">63 Y </v>
      </c>
      <c r="E25" s="68">
        <v>1</v>
      </c>
      <c r="F25" s="69">
        <v>18494</v>
      </c>
      <c r="G25" s="69">
        <v>41522</v>
      </c>
      <c r="H25" s="73">
        <v>182</v>
      </c>
      <c r="I25" s="73">
        <v>55.3</v>
      </c>
      <c r="J25" s="73">
        <f t="shared" si="11"/>
        <v>76.8032386</v>
      </c>
      <c r="K25" s="74">
        <f t="shared" si="12"/>
        <v>16.69484361792054</v>
      </c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73">
        <v>12</v>
      </c>
      <c r="AL25" s="68">
        <v>35.799999999999997</v>
      </c>
      <c r="AM25" s="68">
        <v>0.68</v>
      </c>
      <c r="AN25" s="68"/>
      <c r="AO25" s="68"/>
      <c r="AP25" s="68">
        <v>144</v>
      </c>
      <c r="AQ25" s="68">
        <v>69</v>
      </c>
      <c r="AR25" s="73">
        <f t="shared" si="13"/>
        <v>94</v>
      </c>
      <c r="AS25" s="68">
        <f t="shared" si="14"/>
        <v>172.8</v>
      </c>
      <c r="AT25" s="68">
        <f t="shared" si="15"/>
        <v>115.2</v>
      </c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>
        <v>47</v>
      </c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>
        <v>5700</v>
      </c>
      <c r="CA25" s="68">
        <v>2750</v>
      </c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>
        <v>2</v>
      </c>
      <c r="CP25" s="68"/>
      <c r="CQ25" s="68"/>
      <c r="CR25" s="68"/>
      <c r="CS25" s="68"/>
      <c r="CT25" s="68"/>
      <c r="CU25" s="68">
        <v>750</v>
      </c>
      <c r="CV25" s="68">
        <f t="shared" si="16"/>
        <v>5700</v>
      </c>
      <c r="CW25" s="68" t="s">
        <v>336</v>
      </c>
      <c r="CX25" s="68" t="s">
        <v>336</v>
      </c>
      <c r="CY25" s="103"/>
      <c r="CZ25" s="104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78"/>
      <c r="DP25" s="78"/>
      <c r="DQ25" s="68"/>
      <c r="DR25" s="68"/>
      <c r="DS25" s="68"/>
      <c r="DT25" s="68"/>
      <c r="DU25" s="68"/>
      <c r="DV25" s="68">
        <v>3</v>
      </c>
      <c r="DW25" s="68">
        <v>0</v>
      </c>
      <c r="DX25" s="68">
        <v>0</v>
      </c>
      <c r="DY25" s="73">
        <v>8.6</v>
      </c>
      <c r="DZ25" s="68"/>
      <c r="EA25" s="68"/>
      <c r="EB25" s="68"/>
      <c r="EC25" s="124"/>
      <c r="ED25" s="68"/>
      <c r="EE25" s="68"/>
      <c r="EF25" s="68"/>
      <c r="EG25" s="68"/>
      <c r="EH25" s="68"/>
      <c r="EI25" s="68">
        <v>0.68</v>
      </c>
      <c r="EJ25" s="68">
        <v>0.55000000000000004</v>
      </c>
      <c r="EK25" s="68">
        <v>0.38</v>
      </c>
      <c r="EL25" s="68">
        <v>0.49</v>
      </c>
      <c r="EM25" s="68">
        <v>0.43</v>
      </c>
      <c r="EN25" s="68"/>
      <c r="EO25" s="68">
        <v>165</v>
      </c>
      <c r="EP25" s="68">
        <v>147</v>
      </c>
      <c r="EQ25" s="68">
        <v>124</v>
      </c>
      <c r="ER25" s="68">
        <v>111</v>
      </c>
      <c r="ES25" s="68">
        <v>129</v>
      </c>
      <c r="ET25" s="68"/>
      <c r="EU25" s="68"/>
      <c r="EV25" s="68"/>
      <c r="EW25" s="68"/>
      <c r="EX25" s="68"/>
      <c r="EY25" s="68"/>
      <c r="EZ25" s="68">
        <v>8</v>
      </c>
      <c r="FA25" s="69">
        <v>41535</v>
      </c>
      <c r="FB25" s="71">
        <f t="shared" si="8"/>
        <v>13</v>
      </c>
      <c r="FC25" s="68"/>
    </row>
    <row r="26" spans="1:159" s="76" customFormat="1" x14ac:dyDescent="0.25">
      <c r="A26" s="111" t="s">
        <v>297</v>
      </c>
      <c r="B26" s="68">
        <v>42418012</v>
      </c>
      <c r="C26" s="68" t="s">
        <v>157</v>
      </c>
      <c r="D26" s="68" t="str">
        <f t="shared" si="0"/>
        <v xml:space="preserve">71 Y 10 M </v>
      </c>
      <c r="E26" s="68">
        <v>1</v>
      </c>
      <c r="F26" s="69">
        <v>15269</v>
      </c>
      <c r="G26" s="69">
        <v>41535</v>
      </c>
      <c r="H26" s="73">
        <v>173</v>
      </c>
      <c r="I26" s="73">
        <v>71.099999999999994</v>
      </c>
      <c r="J26" s="73">
        <f t="shared" si="11"/>
        <v>68.653627900000018</v>
      </c>
      <c r="K26" s="74">
        <f t="shared" si="12"/>
        <v>23.756223061244942</v>
      </c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73">
        <v>11.6</v>
      </c>
      <c r="AL26" s="68">
        <v>35.5</v>
      </c>
      <c r="AM26" s="68">
        <v>0.92</v>
      </c>
      <c r="AN26" s="68"/>
      <c r="AO26" s="68"/>
      <c r="AP26" s="68">
        <v>107</v>
      </c>
      <c r="AQ26" s="68">
        <v>58</v>
      </c>
      <c r="AR26" s="73">
        <f t="shared" si="13"/>
        <v>74.333333333333329</v>
      </c>
      <c r="AS26" s="68">
        <f t="shared" si="14"/>
        <v>128.4</v>
      </c>
      <c r="AT26" s="68">
        <f t="shared" si="15"/>
        <v>85.6</v>
      </c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>
        <v>1</v>
      </c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>
        <v>5200</v>
      </c>
      <c r="CA26" s="68">
        <v>750</v>
      </c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>
        <v>0</v>
      </c>
      <c r="CP26" s="68"/>
      <c r="CQ26" s="68"/>
      <c r="CR26" s="68"/>
      <c r="CS26" s="68"/>
      <c r="CT26" s="68"/>
      <c r="CU26" s="68">
        <v>800</v>
      </c>
      <c r="CV26" s="68">
        <f t="shared" si="16"/>
        <v>5200</v>
      </c>
      <c r="CW26" s="108">
        <v>0.69861111111111107</v>
      </c>
      <c r="CX26" s="108">
        <v>0.8125</v>
      </c>
      <c r="CY26" s="103">
        <f t="shared" ref="CY26:CY33" si="17">CX26-CW26</f>
        <v>0.11388888888888893</v>
      </c>
      <c r="CZ26" s="104">
        <f t="shared" si="9"/>
        <v>164.00000000000006</v>
      </c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78"/>
      <c r="DP26" s="78"/>
      <c r="DQ26" s="68"/>
      <c r="DR26" s="68"/>
      <c r="DS26" s="68"/>
      <c r="DT26" s="68">
        <v>3</v>
      </c>
      <c r="DU26" s="68">
        <v>3</v>
      </c>
      <c r="DV26" s="68">
        <v>3</v>
      </c>
      <c r="DW26" s="68">
        <v>2</v>
      </c>
      <c r="DX26" s="68">
        <v>0</v>
      </c>
      <c r="DY26" s="73">
        <v>7.9</v>
      </c>
      <c r="DZ26" s="68">
        <v>7.6</v>
      </c>
      <c r="EA26" s="68">
        <v>6.8</v>
      </c>
      <c r="EB26" s="68">
        <v>7.6</v>
      </c>
      <c r="EC26" s="124">
        <v>8.3000000000000007</v>
      </c>
      <c r="ED26" s="68">
        <v>24.5</v>
      </c>
      <c r="EE26" s="68">
        <v>22.9</v>
      </c>
      <c r="EF26" s="68">
        <v>20.7</v>
      </c>
      <c r="EG26" s="68">
        <v>22.9</v>
      </c>
      <c r="EH26" s="68">
        <v>22.6</v>
      </c>
      <c r="EI26" s="68">
        <v>0.87</v>
      </c>
      <c r="EJ26" s="68">
        <v>0.76</v>
      </c>
      <c r="EK26" s="68">
        <v>0.77</v>
      </c>
      <c r="EL26" s="68">
        <v>0.8</v>
      </c>
      <c r="EM26" s="68">
        <v>0.73</v>
      </c>
      <c r="EN26" s="68"/>
      <c r="EO26" s="68">
        <v>146</v>
      </c>
      <c r="EP26" s="68">
        <v>131</v>
      </c>
      <c r="EQ26" s="68">
        <v>108</v>
      </c>
      <c r="ER26" s="68">
        <v>102</v>
      </c>
      <c r="ES26" s="68">
        <v>92</v>
      </c>
      <c r="ET26" s="68"/>
      <c r="EU26" s="68"/>
      <c r="EV26" s="68"/>
      <c r="EW26" s="68"/>
      <c r="EX26" s="68"/>
      <c r="EY26" s="68"/>
      <c r="EZ26" s="68">
        <v>0</v>
      </c>
      <c r="FA26" s="69">
        <v>41549</v>
      </c>
      <c r="FB26" s="71">
        <f t="shared" si="8"/>
        <v>14</v>
      </c>
      <c r="FC26" s="68"/>
    </row>
    <row r="27" spans="1:159" s="76" customFormat="1" x14ac:dyDescent="0.25">
      <c r="A27" s="111" t="s">
        <v>296</v>
      </c>
      <c r="B27" s="68">
        <v>14210793</v>
      </c>
      <c r="C27" s="68" t="s">
        <v>157</v>
      </c>
      <c r="D27" s="68" t="str">
        <f t="shared" si="0"/>
        <v xml:space="preserve">73 Y 8 M </v>
      </c>
      <c r="E27" s="68">
        <v>2</v>
      </c>
      <c r="F27" s="69">
        <v>14677</v>
      </c>
      <c r="G27" s="69">
        <v>41600</v>
      </c>
      <c r="H27" s="73">
        <v>150.6</v>
      </c>
      <c r="I27" s="73">
        <v>54.4</v>
      </c>
      <c r="J27" s="73">
        <f t="shared" si="11"/>
        <v>43.87015238</v>
      </c>
      <c r="K27" s="74">
        <f t="shared" si="12"/>
        <v>23.985509930177475</v>
      </c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73">
        <v>14.6</v>
      </c>
      <c r="AL27" s="68">
        <v>25.6</v>
      </c>
      <c r="AM27" s="68">
        <v>0.6</v>
      </c>
      <c r="AN27" s="68"/>
      <c r="AO27" s="68"/>
      <c r="AP27" s="68">
        <v>140</v>
      </c>
      <c r="AQ27" s="68">
        <v>86</v>
      </c>
      <c r="AR27" s="73">
        <f t="shared" si="13"/>
        <v>104</v>
      </c>
      <c r="AS27" s="68">
        <f t="shared" si="14"/>
        <v>168</v>
      </c>
      <c r="AT27" s="68">
        <f t="shared" si="15"/>
        <v>112</v>
      </c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>
        <v>7</v>
      </c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>
        <v>3200</v>
      </c>
      <c r="CA27" s="68">
        <v>1250</v>
      </c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>
        <v>0</v>
      </c>
      <c r="CP27" s="68"/>
      <c r="CQ27" s="68"/>
      <c r="CR27" s="68"/>
      <c r="CS27" s="68"/>
      <c r="CT27" s="68"/>
      <c r="CU27" s="68">
        <v>1000</v>
      </c>
      <c r="CV27" s="68">
        <f t="shared" si="16"/>
        <v>3200</v>
      </c>
      <c r="CW27" s="108">
        <v>0.63472222222222219</v>
      </c>
      <c r="CX27" s="108">
        <v>0.91666666666666663</v>
      </c>
      <c r="CY27" s="103">
        <f t="shared" si="17"/>
        <v>0.28194444444444444</v>
      </c>
      <c r="CZ27" s="104">
        <f t="shared" si="9"/>
        <v>406</v>
      </c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78"/>
      <c r="DP27" s="78"/>
      <c r="DQ27" s="68"/>
      <c r="DR27" s="68"/>
      <c r="DS27" s="68"/>
      <c r="DT27" s="68"/>
      <c r="DU27" s="68"/>
      <c r="DV27" s="68">
        <v>1</v>
      </c>
      <c r="DW27" s="68">
        <v>1</v>
      </c>
      <c r="DX27" s="68">
        <v>0</v>
      </c>
      <c r="DY27" s="73">
        <v>8.3000000000000007</v>
      </c>
      <c r="DZ27" s="68">
        <v>10.7</v>
      </c>
      <c r="EA27" s="68">
        <v>10.7</v>
      </c>
      <c r="EB27" s="68">
        <v>10.8</v>
      </c>
      <c r="EC27" s="124">
        <v>11.4</v>
      </c>
      <c r="ED27" s="68">
        <v>25.6</v>
      </c>
      <c r="EE27" s="68">
        <v>30.9</v>
      </c>
      <c r="EF27" s="68">
        <v>31.3</v>
      </c>
      <c r="EG27" s="68">
        <v>31.9</v>
      </c>
      <c r="EH27" s="68">
        <v>33.299999999999997</v>
      </c>
      <c r="EI27" s="68">
        <v>0.54</v>
      </c>
      <c r="EJ27" s="68">
        <v>0.57999999999999996</v>
      </c>
      <c r="EK27" s="68">
        <v>0.43</v>
      </c>
      <c r="EL27" s="68">
        <v>0.48</v>
      </c>
      <c r="EM27" s="68">
        <v>0.42</v>
      </c>
      <c r="EN27" s="68"/>
      <c r="EO27" s="68">
        <v>215</v>
      </c>
      <c r="EP27" s="68">
        <v>117</v>
      </c>
      <c r="EQ27" s="68">
        <v>163</v>
      </c>
      <c r="ER27" s="68">
        <v>126</v>
      </c>
      <c r="ES27" s="68">
        <v>134</v>
      </c>
      <c r="ET27" s="68"/>
      <c r="EU27" s="68"/>
      <c r="EV27" s="68"/>
      <c r="EW27" s="68"/>
      <c r="EX27" s="68"/>
      <c r="EY27" s="68"/>
      <c r="EZ27" s="68">
        <v>0</v>
      </c>
      <c r="FA27" s="69">
        <v>41614</v>
      </c>
      <c r="FB27" s="68">
        <f t="shared" si="8"/>
        <v>14</v>
      </c>
      <c r="FC27" s="68"/>
    </row>
    <row r="28" spans="1:159" s="76" customFormat="1" x14ac:dyDescent="0.25">
      <c r="A28" s="111" t="s">
        <v>295</v>
      </c>
      <c r="B28" s="68">
        <v>21062815</v>
      </c>
      <c r="C28" s="68" t="s">
        <v>157</v>
      </c>
      <c r="D28" s="68" t="str">
        <f t="shared" si="0"/>
        <v xml:space="preserve">43 Y 9 M </v>
      </c>
      <c r="E28" s="68">
        <v>2</v>
      </c>
      <c r="F28" s="69">
        <v>25615</v>
      </c>
      <c r="G28" s="69">
        <v>41619</v>
      </c>
      <c r="H28" s="73">
        <v>163</v>
      </c>
      <c r="I28" s="73">
        <v>99.1</v>
      </c>
      <c r="J28" s="73">
        <f t="shared" si="11"/>
        <v>55.098504900000009</v>
      </c>
      <c r="K28" s="74">
        <f t="shared" si="12"/>
        <v>37.299107982987692</v>
      </c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73">
        <v>13.4</v>
      </c>
      <c r="AL28" s="68">
        <v>41.1</v>
      </c>
      <c r="AM28" s="68">
        <v>0.8</v>
      </c>
      <c r="AN28" s="68"/>
      <c r="AO28" s="68"/>
      <c r="AP28" s="68">
        <v>135</v>
      </c>
      <c r="AQ28" s="68">
        <v>91</v>
      </c>
      <c r="AR28" s="73">
        <f t="shared" si="13"/>
        <v>105.66666666666667</v>
      </c>
      <c r="AS28" s="68">
        <f t="shared" si="14"/>
        <v>162</v>
      </c>
      <c r="AT28" s="68">
        <f t="shared" si="15"/>
        <v>108</v>
      </c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>
        <v>21</v>
      </c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>
        <v>6600</v>
      </c>
      <c r="CA28" s="68">
        <v>1250</v>
      </c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>
        <v>2</v>
      </c>
      <c r="CP28" s="68"/>
      <c r="CQ28" s="68"/>
      <c r="CR28" s="68"/>
      <c r="CS28" s="68"/>
      <c r="CT28" s="68"/>
      <c r="CU28" s="68">
        <v>1000</v>
      </c>
      <c r="CV28" s="68">
        <f t="shared" si="16"/>
        <v>6600</v>
      </c>
      <c r="CW28" s="108">
        <v>0.75416666666666676</v>
      </c>
      <c r="CX28" s="108">
        <v>0.83333333333333337</v>
      </c>
      <c r="CY28" s="103">
        <f t="shared" si="17"/>
        <v>7.9166666666666607E-2</v>
      </c>
      <c r="CZ28" s="104">
        <f t="shared" si="9"/>
        <v>113.99999999999991</v>
      </c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78"/>
      <c r="DP28" s="78"/>
      <c r="DQ28" s="68"/>
      <c r="DR28" s="68"/>
      <c r="DS28" s="68"/>
      <c r="DT28" s="68">
        <v>5</v>
      </c>
      <c r="DU28" s="68">
        <v>4</v>
      </c>
      <c r="DV28" s="68">
        <v>2</v>
      </c>
      <c r="DW28" s="68">
        <v>1</v>
      </c>
      <c r="DX28" s="68">
        <v>0</v>
      </c>
      <c r="DY28" s="73">
        <v>10.4</v>
      </c>
      <c r="DZ28" s="68">
        <v>10.1</v>
      </c>
      <c r="EA28" s="68">
        <v>9.6999999999999993</v>
      </c>
      <c r="EB28" s="68">
        <v>9.4</v>
      </c>
      <c r="EC28" s="124">
        <v>10.199999999999999</v>
      </c>
      <c r="ED28" s="68">
        <v>31.5</v>
      </c>
      <c r="EE28" s="68">
        <v>30.3</v>
      </c>
      <c r="EF28" s="68">
        <v>29.3</v>
      </c>
      <c r="EG28" s="68">
        <v>28</v>
      </c>
      <c r="EH28" s="68">
        <v>31.1</v>
      </c>
      <c r="EI28" s="68">
        <v>0.54</v>
      </c>
      <c r="EJ28" s="68">
        <v>0.57999999999999996</v>
      </c>
      <c r="EK28" s="68">
        <v>0.46</v>
      </c>
      <c r="EL28" s="68">
        <v>0.46</v>
      </c>
      <c r="EM28" s="68">
        <v>0.46</v>
      </c>
      <c r="EN28" s="68"/>
      <c r="EO28" s="68">
        <v>98</v>
      </c>
      <c r="EP28" s="68">
        <v>101</v>
      </c>
      <c r="EQ28" s="68">
        <v>87</v>
      </c>
      <c r="ER28" s="68">
        <v>90</v>
      </c>
      <c r="ES28" s="68">
        <v>112</v>
      </c>
      <c r="ET28" s="68"/>
      <c r="EU28" s="68"/>
      <c r="EV28" s="68"/>
      <c r="EW28" s="68"/>
      <c r="EX28" s="68"/>
      <c r="EY28" s="68"/>
      <c r="EZ28" s="68">
        <v>1</v>
      </c>
      <c r="FA28" s="69">
        <v>41632</v>
      </c>
      <c r="FB28" s="68">
        <f t="shared" si="8"/>
        <v>13</v>
      </c>
      <c r="FC28" s="68"/>
    </row>
    <row r="29" spans="1:159" s="76" customFormat="1" x14ac:dyDescent="0.25">
      <c r="A29" s="111" t="s">
        <v>289</v>
      </c>
      <c r="B29" s="68">
        <v>41969833</v>
      </c>
      <c r="C29" s="68" t="s">
        <v>157</v>
      </c>
      <c r="D29" s="68" t="str">
        <f t="shared" si="0"/>
        <v xml:space="preserve">65 Y 8 M </v>
      </c>
      <c r="E29" s="68">
        <v>1</v>
      </c>
      <c r="F29" s="69">
        <v>17678</v>
      </c>
      <c r="G29" s="69">
        <v>41684</v>
      </c>
      <c r="H29" s="73">
        <v>190.5</v>
      </c>
      <c r="I29" s="73">
        <v>102</v>
      </c>
      <c r="J29" s="73">
        <f t="shared" si="11"/>
        <v>84.500093150000026</v>
      </c>
      <c r="K29" s="74">
        <f t="shared" si="12"/>
        <v>28.106722880112429</v>
      </c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73">
        <v>14</v>
      </c>
      <c r="AL29" s="68">
        <v>38.9</v>
      </c>
      <c r="AM29" s="68">
        <v>0.84</v>
      </c>
      <c r="AN29" s="68"/>
      <c r="AO29" s="68"/>
      <c r="AP29" s="68">
        <v>85</v>
      </c>
      <c r="AQ29" s="68">
        <v>61</v>
      </c>
      <c r="AR29" s="73">
        <f t="shared" si="13"/>
        <v>69</v>
      </c>
      <c r="AS29" s="68">
        <f t="shared" si="14"/>
        <v>102</v>
      </c>
      <c r="AT29" s="68">
        <f t="shared" si="15"/>
        <v>68</v>
      </c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>
        <v>0</v>
      </c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>
        <v>8000</v>
      </c>
      <c r="CA29" s="68">
        <v>1500</v>
      </c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>
        <v>2</v>
      </c>
      <c r="CP29" s="68"/>
      <c r="CQ29" s="68"/>
      <c r="CR29" s="68"/>
      <c r="CS29" s="68"/>
      <c r="CT29" s="68"/>
      <c r="CU29" s="68">
        <v>1500</v>
      </c>
      <c r="CV29" s="68">
        <f t="shared" si="16"/>
        <v>8000</v>
      </c>
      <c r="CW29" s="108">
        <v>0.6777777777777777</v>
      </c>
      <c r="CX29" s="108">
        <v>0.80555555555555547</v>
      </c>
      <c r="CY29" s="103">
        <f t="shared" si="17"/>
        <v>0.12777777777777777</v>
      </c>
      <c r="CZ29" s="104">
        <f t="shared" si="9"/>
        <v>184</v>
      </c>
      <c r="DA29" s="68"/>
      <c r="DB29" s="68"/>
      <c r="DC29" s="68"/>
      <c r="DD29" s="68"/>
      <c r="DE29" s="68"/>
      <c r="DF29" s="68"/>
      <c r="DG29" s="68"/>
      <c r="DH29" s="68"/>
      <c r="DI29" s="68"/>
      <c r="DJ29" s="68"/>
      <c r="DK29" s="68"/>
      <c r="DL29" s="68"/>
      <c r="DM29" s="68"/>
      <c r="DN29" s="68"/>
      <c r="DO29" s="78"/>
      <c r="DP29" s="78"/>
      <c r="DQ29" s="68"/>
      <c r="DR29" s="68"/>
      <c r="DS29" s="68"/>
      <c r="DT29" s="68">
        <v>0</v>
      </c>
      <c r="DU29" s="68">
        <v>6</v>
      </c>
      <c r="DV29" s="68">
        <v>4</v>
      </c>
      <c r="DW29" s="68">
        <v>3</v>
      </c>
      <c r="DX29" s="68">
        <v>0</v>
      </c>
      <c r="DY29" s="73">
        <v>10.7</v>
      </c>
      <c r="DZ29" s="68">
        <v>9.8000000000000007</v>
      </c>
      <c r="EA29" s="68">
        <v>9.6999999999999993</v>
      </c>
      <c r="EB29" s="68">
        <v>9.3000000000000007</v>
      </c>
      <c r="EC29" s="124">
        <v>9</v>
      </c>
      <c r="ED29" s="68">
        <v>30.1</v>
      </c>
      <c r="EE29" s="68">
        <v>27.8</v>
      </c>
      <c r="EF29" s="68">
        <v>27.2</v>
      </c>
      <c r="EG29" s="68">
        <v>26.4</v>
      </c>
      <c r="EH29" s="68">
        <v>25.1</v>
      </c>
      <c r="EI29" s="68">
        <v>0.94</v>
      </c>
      <c r="EJ29" s="68">
        <v>0.7</v>
      </c>
      <c r="EK29" s="68">
        <v>0.83</v>
      </c>
      <c r="EL29" s="68">
        <v>0.7</v>
      </c>
      <c r="EM29" s="68">
        <v>0.66</v>
      </c>
      <c r="EN29" s="68"/>
      <c r="EO29" s="68">
        <v>117</v>
      </c>
      <c r="EP29" s="68">
        <v>110</v>
      </c>
      <c r="EQ29" s="68">
        <v>112</v>
      </c>
      <c r="ER29" s="68">
        <v>104</v>
      </c>
      <c r="ES29" s="68">
        <v>99</v>
      </c>
      <c r="ET29" s="68"/>
      <c r="EU29" s="68"/>
      <c r="EV29" s="68"/>
      <c r="EW29" s="68"/>
      <c r="EX29" s="68"/>
      <c r="EY29" s="68"/>
      <c r="EZ29" s="68">
        <v>0</v>
      </c>
      <c r="FA29" s="69">
        <v>41693</v>
      </c>
      <c r="FB29" s="68">
        <f t="shared" si="8"/>
        <v>9</v>
      </c>
      <c r="FC29" s="68" t="s">
        <v>340</v>
      </c>
    </row>
    <row r="30" spans="1:159" s="76" customFormat="1" x14ac:dyDescent="0.25">
      <c r="A30" s="111" t="s">
        <v>288</v>
      </c>
      <c r="B30" s="68">
        <v>42686741</v>
      </c>
      <c r="C30" s="68" t="s">
        <v>157</v>
      </c>
      <c r="D30" s="68" t="str">
        <f t="shared" si="0"/>
        <v xml:space="preserve">70 Y 1 M </v>
      </c>
      <c r="E30" s="68">
        <v>1</v>
      </c>
      <c r="F30" s="69">
        <v>16090</v>
      </c>
      <c r="G30" s="69">
        <v>41697</v>
      </c>
      <c r="H30" s="73">
        <v>181</v>
      </c>
      <c r="I30" s="73">
        <v>82.1</v>
      </c>
      <c r="J30" s="73">
        <f t="shared" si="11"/>
        <v>75.897726300000016</v>
      </c>
      <c r="K30" s="74">
        <f t="shared" si="12"/>
        <v>25.060285095082566</v>
      </c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73">
        <v>13.5</v>
      </c>
      <c r="AL30" s="68">
        <v>41.5</v>
      </c>
      <c r="AM30" s="68">
        <v>1.05</v>
      </c>
      <c r="AN30" s="68"/>
      <c r="AO30" s="68"/>
      <c r="AP30" s="68">
        <v>139</v>
      </c>
      <c r="AQ30" s="68">
        <v>82</v>
      </c>
      <c r="AR30" s="73">
        <f t="shared" si="13"/>
        <v>101</v>
      </c>
      <c r="AS30" s="68">
        <f t="shared" si="14"/>
        <v>166.8</v>
      </c>
      <c r="AT30" s="68">
        <f t="shared" si="15"/>
        <v>111.2</v>
      </c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>
        <v>46</v>
      </c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>
        <v>1950</v>
      </c>
      <c r="CA30" s="68">
        <v>500</v>
      </c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>
        <v>0</v>
      </c>
      <c r="CP30" s="68"/>
      <c r="CQ30" s="68"/>
      <c r="CR30" s="68"/>
      <c r="CS30" s="68"/>
      <c r="CT30" s="68"/>
      <c r="CU30" s="68">
        <v>400</v>
      </c>
      <c r="CV30" s="68">
        <f t="shared" si="16"/>
        <v>1950</v>
      </c>
      <c r="CW30" s="108">
        <v>0.6</v>
      </c>
      <c r="CX30" s="108">
        <v>0.625</v>
      </c>
      <c r="CY30" s="103">
        <f t="shared" si="17"/>
        <v>2.5000000000000022E-2</v>
      </c>
      <c r="CZ30" s="104">
        <f t="shared" si="9"/>
        <v>36.000000000000028</v>
      </c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78"/>
      <c r="DP30" s="78"/>
      <c r="DQ30" s="68"/>
      <c r="DR30" s="68"/>
      <c r="DS30" s="68"/>
      <c r="DT30" s="68">
        <v>6</v>
      </c>
      <c r="DU30" s="68">
        <v>4</v>
      </c>
      <c r="DV30" s="68">
        <v>4</v>
      </c>
      <c r="DW30" s="68">
        <v>6</v>
      </c>
      <c r="DX30" s="68">
        <v>4</v>
      </c>
      <c r="DY30" s="73">
        <v>11</v>
      </c>
      <c r="DZ30" s="68">
        <v>10.1</v>
      </c>
      <c r="EA30" s="68">
        <v>10.3</v>
      </c>
      <c r="EB30" s="68">
        <v>10.3</v>
      </c>
      <c r="EC30" s="124">
        <v>10</v>
      </c>
      <c r="ED30" s="68">
        <v>32.6</v>
      </c>
      <c r="EE30" s="68">
        <v>29.6</v>
      </c>
      <c r="EF30" s="68">
        <v>30.1</v>
      </c>
      <c r="EG30" s="68">
        <v>29.2</v>
      </c>
      <c r="EH30" s="68">
        <v>30.1</v>
      </c>
      <c r="EI30" s="68">
        <v>1.1299999999999999</v>
      </c>
      <c r="EJ30" s="68">
        <v>1.1599999999999999</v>
      </c>
      <c r="EK30" s="68">
        <v>1.02</v>
      </c>
      <c r="EL30" s="68">
        <v>1.0900000000000001</v>
      </c>
      <c r="EM30" s="68">
        <v>1.1000000000000001</v>
      </c>
      <c r="EN30" s="68"/>
      <c r="EO30" s="68">
        <v>95</v>
      </c>
      <c r="EP30" s="68">
        <v>123</v>
      </c>
      <c r="EQ30" s="68">
        <v>88</v>
      </c>
      <c r="ER30" s="68">
        <v>108</v>
      </c>
      <c r="ES30" s="68">
        <v>108</v>
      </c>
      <c r="ET30" s="68"/>
      <c r="EU30" s="68"/>
      <c r="EV30" s="68"/>
      <c r="EW30" s="68"/>
      <c r="EX30" s="68"/>
      <c r="EY30" s="68"/>
      <c r="EZ30" s="68">
        <v>0</v>
      </c>
      <c r="FA30" s="69">
        <v>41704</v>
      </c>
      <c r="FB30" s="68">
        <f t="shared" si="8"/>
        <v>7</v>
      </c>
      <c r="FC30" s="68"/>
    </row>
    <row r="31" spans="1:159" s="76" customFormat="1" x14ac:dyDescent="0.25">
      <c r="A31" s="111" t="s">
        <v>286</v>
      </c>
      <c r="B31" s="68">
        <v>42679084</v>
      </c>
      <c r="C31" s="68" t="s">
        <v>157</v>
      </c>
      <c r="D31" s="68" t="str">
        <f t="shared" si="0"/>
        <v xml:space="preserve">55 Y 11 M </v>
      </c>
      <c r="E31" s="68">
        <v>2</v>
      </c>
      <c r="F31" s="69">
        <v>21270</v>
      </c>
      <c r="G31" s="69">
        <v>41704</v>
      </c>
      <c r="H31" s="73">
        <v>159.19999999999999</v>
      </c>
      <c r="I31" s="73">
        <v>59</v>
      </c>
      <c r="J31" s="73">
        <f t="shared" si="11"/>
        <v>51.657558159999994</v>
      </c>
      <c r="K31" s="74">
        <f t="shared" si="12"/>
        <v>23.279083861518654</v>
      </c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73">
        <v>12.5</v>
      </c>
      <c r="AL31" s="68">
        <v>38.1</v>
      </c>
      <c r="AM31" s="68">
        <v>0.62</v>
      </c>
      <c r="AN31" s="68"/>
      <c r="AO31" s="68"/>
      <c r="AP31" s="68">
        <v>123</v>
      </c>
      <c r="AQ31" s="68">
        <v>72</v>
      </c>
      <c r="AR31" s="73">
        <f t="shared" si="13"/>
        <v>89</v>
      </c>
      <c r="AS31" s="68">
        <f t="shared" si="14"/>
        <v>147.6</v>
      </c>
      <c r="AT31" s="68">
        <f t="shared" si="15"/>
        <v>98.4</v>
      </c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>
        <v>18</v>
      </c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>
        <v>2300</v>
      </c>
      <c r="CA31" s="68">
        <v>500</v>
      </c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>
        <v>0</v>
      </c>
      <c r="CP31" s="68"/>
      <c r="CQ31" s="68"/>
      <c r="CR31" s="68"/>
      <c r="CS31" s="68"/>
      <c r="CT31" s="68"/>
      <c r="CU31" s="68">
        <v>500</v>
      </c>
      <c r="CV31" s="68">
        <f t="shared" si="16"/>
        <v>2300</v>
      </c>
      <c r="CW31" s="108">
        <v>0.67013888888888884</v>
      </c>
      <c r="CX31" s="108">
        <v>0.75</v>
      </c>
      <c r="CY31" s="103">
        <f t="shared" si="17"/>
        <v>7.986111111111116E-2</v>
      </c>
      <c r="CZ31" s="104">
        <f t="shared" si="9"/>
        <v>115.00000000000007</v>
      </c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78"/>
      <c r="DP31" s="78"/>
      <c r="DQ31" s="68"/>
      <c r="DR31" s="68"/>
      <c r="DS31" s="68"/>
      <c r="DT31" s="68">
        <v>2</v>
      </c>
      <c r="DU31" s="68">
        <v>8</v>
      </c>
      <c r="DV31" s="68">
        <v>0</v>
      </c>
      <c r="DW31" s="68">
        <v>0</v>
      </c>
      <c r="DX31" s="68">
        <v>2</v>
      </c>
      <c r="DY31" s="73">
        <v>10.3</v>
      </c>
      <c r="DZ31" s="68">
        <v>9.4</v>
      </c>
      <c r="EA31" s="68">
        <v>8</v>
      </c>
      <c r="EB31" s="68">
        <v>9</v>
      </c>
      <c r="EC31" s="124">
        <v>8.4</v>
      </c>
      <c r="ED31" s="68">
        <v>31.2</v>
      </c>
      <c r="EE31" s="68">
        <v>28.6</v>
      </c>
      <c r="EF31" s="68">
        <v>24.1</v>
      </c>
      <c r="EG31" s="68">
        <v>27.4</v>
      </c>
      <c r="EH31" s="68">
        <v>24.8</v>
      </c>
      <c r="EI31" s="68">
        <v>0.76</v>
      </c>
      <c r="EJ31" s="68">
        <v>0.85</v>
      </c>
      <c r="EK31" s="68">
        <v>0.66</v>
      </c>
      <c r="EL31" s="68">
        <v>0.64</v>
      </c>
      <c r="EM31" s="128">
        <v>0.62</v>
      </c>
      <c r="EN31" s="68"/>
      <c r="EO31" s="68">
        <v>234</v>
      </c>
      <c r="EP31" s="68">
        <v>139</v>
      </c>
      <c r="EQ31" s="68">
        <v>170</v>
      </c>
      <c r="ER31" s="68">
        <v>144</v>
      </c>
      <c r="ES31" s="68">
        <v>130</v>
      </c>
      <c r="ET31" s="68"/>
      <c r="EU31" s="68"/>
      <c r="EV31" s="68"/>
      <c r="EW31" s="68"/>
      <c r="EX31" s="68"/>
      <c r="EY31" s="68"/>
      <c r="EZ31" s="68">
        <v>0</v>
      </c>
      <c r="FA31" s="69">
        <v>41711</v>
      </c>
      <c r="FB31" s="68">
        <f t="shared" si="8"/>
        <v>7</v>
      </c>
      <c r="FC31" s="68"/>
    </row>
    <row r="32" spans="1:159" s="76" customFormat="1" x14ac:dyDescent="0.25">
      <c r="A32" s="111" t="s">
        <v>285</v>
      </c>
      <c r="B32" s="70" t="s">
        <v>197</v>
      </c>
      <c r="C32" s="68" t="s">
        <v>157</v>
      </c>
      <c r="D32" s="68" t="str">
        <f t="shared" si="0"/>
        <v xml:space="preserve">78 Y 8 M </v>
      </c>
      <c r="E32" s="68">
        <v>2</v>
      </c>
      <c r="F32" s="69">
        <v>12965</v>
      </c>
      <c r="G32" s="69">
        <v>41725</v>
      </c>
      <c r="H32" s="73">
        <v>160.1</v>
      </c>
      <c r="I32" s="73">
        <v>85</v>
      </c>
      <c r="J32" s="73">
        <f t="shared" si="11"/>
        <v>52.47251923000001</v>
      </c>
      <c r="K32" s="74">
        <f t="shared" si="12"/>
        <v>33.161659971262495</v>
      </c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73">
        <v>7.6</v>
      </c>
      <c r="AL32" s="68">
        <v>24.7</v>
      </c>
      <c r="AM32" s="68">
        <v>1.05</v>
      </c>
      <c r="AN32" s="68"/>
      <c r="AO32" s="68"/>
      <c r="AP32" s="68">
        <v>128</v>
      </c>
      <c r="AQ32" s="68">
        <v>67</v>
      </c>
      <c r="AR32" s="73">
        <f t="shared" si="13"/>
        <v>87.333333333333329</v>
      </c>
      <c r="AS32" s="68">
        <f t="shared" si="14"/>
        <v>153.6</v>
      </c>
      <c r="AT32" s="68">
        <f t="shared" si="15"/>
        <v>102.4</v>
      </c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>
        <v>50</v>
      </c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>
        <v>6000</v>
      </c>
      <c r="CA32" s="68">
        <v>1250</v>
      </c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>
        <v>4</v>
      </c>
      <c r="CP32" s="68"/>
      <c r="CQ32" s="68"/>
      <c r="CR32" s="68"/>
      <c r="CS32" s="68"/>
      <c r="CT32" s="68"/>
      <c r="CU32" s="68">
        <v>1000</v>
      </c>
      <c r="CV32" s="68">
        <f t="shared" si="16"/>
        <v>6000</v>
      </c>
      <c r="CW32" s="108">
        <v>0.76041666666666663</v>
      </c>
      <c r="CX32" s="108">
        <v>0.89236111111111116</v>
      </c>
      <c r="CY32" s="103">
        <f t="shared" si="17"/>
        <v>0.13194444444444453</v>
      </c>
      <c r="CZ32" s="104">
        <f t="shared" si="9"/>
        <v>190.00000000000011</v>
      </c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78"/>
      <c r="DP32" s="78"/>
      <c r="DQ32" s="68"/>
      <c r="DR32" s="68"/>
      <c r="DS32" s="68"/>
      <c r="DT32" s="68">
        <v>6</v>
      </c>
      <c r="DU32" s="68">
        <v>0</v>
      </c>
      <c r="DV32" s="68">
        <v>2</v>
      </c>
      <c r="DW32" s="68">
        <v>2</v>
      </c>
      <c r="DX32" s="68">
        <v>0</v>
      </c>
      <c r="DY32" s="73">
        <v>10.5</v>
      </c>
      <c r="DZ32" s="68">
        <v>10.1</v>
      </c>
      <c r="EA32" s="68">
        <v>10.4</v>
      </c>
      <c r="EB32" s="68">
        <v>10.5</v>
      </c>
      <c r="EC32" s="124">
        <v>10</v>
      </c>
      <c r="ED32" s="68">
        <v>32.5</v>
      </c>
      <c r="EE32" s="68">
        <v>31.1</v>
      </c>
      <c r="EF32" s="68">
        <v>30.5</v>
      </c>
      <c r="EG32" s="68">
        <v>32.4</v>
      </c>
      <c r="EH32" s="68">
        <v>31</v>
      </c>
      <c r="EI32" s="68">
        <v>0.6</v>
      </c>
      <c r="EJ32" s="68">
        <v>0.54</v>
      </c>
      <c r="EK32" s="68">
        <v>0.52</v>
      </c>
      <c r="EL32" s="68">
        <v>0.51</v>
      </c>
      <c r="EM32" s="68">
        <v>0.59</v>
      </c>
      <c r="EN32" s="68"/>
      <c r="EO32" s="68">
        <v>138</v>
      </c>
      <c r="EP32" s="68">
        <v>149</v>
      </c>
      <c r="EQ32" s="68">
        <v>119</v>
      </c>
      <c r="ER32" s="68">
        <v>154</v>
      </c>
      <c r="ES32" s="68">
        <v>220</v>
      </c>
      <c r="ET32" s="68"/>
      <c r="EU32" s="68"/>
      <c r="EV32" s="68"/>
      <c r="EW32" s="68"/>
      <c r="EX32" s="68"/>
      <c r="EY32" s="68"/>
      <c r="EZ32" s="68">
        <v>0</v>
      </c>
      <c r="FA32" s="69">
        <v>41743</v>
      </c>
      <c r="FB32" s="68">
        <f t="shared" si="8"/>
        <v>18</v>
      </c>
      <c r="FC32" s="68"/>
    </row>
    <row r="33" spans="1:165" s="76" customFormat="1" x14ac:dyDescent="0.25">
      <c r="A33" s="111" t="s">
        <v>369</v>
      </c>
      <c r="B33" s="70" t="s">
        <v>370</v>
      </c>
      <c r="C33" s="68" t="s">
        <v>157</v>
      </c>
      <c r="D33" s="68" t="str">
        <f t="shared" si="0"/>
        <v xml:space="preserve">62 Y 10 M </v>
      </c>
      <c r="E33" s="68">
        <v>1</v>
      </c>
      <c r="F33" s="69">
        <v>18770</v>
      </c>
      <c r="G33" s="69">
        <v>41732</v>
      </c>
      <c r="H33" s="128">
        <v>177.8</v>
      </c>
      <c r="I33" s="73">
        <v>73.599999999999994</v>
      </c>
      <c r="J33" s="73">
        <f t="shared" si="11"/>
        <v>73.000086940000031</v>
      </c>
      <c r="K33" s="74">
        <f t="shared" si="12"/>
        <v>23.281679216419654</v>
      </c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73"/>
      <c r="AL33" s="68"/>
      <c r="AM33" s="68"/>
      <c r="AN33" s="68"/>
      <c r="AO33" s="68"/>
      <c r="AP33" s="68"/>
      <c r="AQ33" s="68"/>
      <c r="AR33" s="73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108">
        <v>0.74236111111111114</v>
      </c>
      <c r="CX33" s="108">
        <v>0.79722222222222217</v>
      </c>
      <c r="CY33" s="103">
        <f t="shared" si="17"/>
        <v>5.4861111111111027E-2</v>
      </c>
      <c r="CZ33" s="104">
        <f t="shared" si="9"/>
        <v>78.999999999999886</v>
      </c>
      <c r="DA33" s="68"/>
      <c r="DB33" s="68"/>
      <c r="DC33" s="68"/>
      <c r="DD33" s="68"/>
      <c r="DE33" s="68"/>
      <c r="DF33" s="68"/>
      <c r="DG33" s="68"/>
      <c r="DH33" s="68"/>
      <c r="DI33" s="68"/>
      <c r="DJ33" s="68"/>
      <c r="DK33" s="68"/>
      <c r="DL33" s="68"/>
      <c r="DM33" s="68"/>
      <c r="DN33" s="68"/>
      <c r="DO33" s="78"/>
      <c r="DP33" s="78"/>
      <c r="DQ33" s="68"/>
      <c r="DR33" s="68"/>
      <c r="DS33" s="68"/>
      <c r="DT33" s="68"/>
      <c r="DU33" s="68"/>
      <c r="DV33" s="68"/>
      <c r="DW33" s="68"/>
      <c r="DX33" s="68"/>
      <c r="DY33" s="73"/>
      <c r="DZ33" s="68"/>
      <c r="EA33" s="68"/>
      <c r="EB33" s="68"/>
      <c r="EC33" s="124"/>
      <c r="ED33" s="68"/>
      <c r="EE33" s="68"/>
      <c r="EF33" s="68"/>
      <c r="EG33" s="68"/>
      <c r="EH33" s="68"/>
      <c r="EI33" s="68"/>
      <c r="EJ33" s="68"/>
      <c r="EK33" s="68"/>
      <c r="EL33" s="68"/>
      <c r="EM33" s="68"/>
      <c r="EN33" s="68"/>
      <c r="EO33" s="68"/>
      <c r="EP33" s="68"/>
      <c r="EQ33" s="68"/>
      <c r="ER33" s="68"/>
      <c r="ES33" s="68"/>
      <c r="ET33" s="68"/>
      <c r="EU33" s="68"/>
      <c r="EV33" s="68"/>
      <c r="EW33" s="68"/>
      <c r="EX33" s="68"/>
      <c r="EY33" s="68"/>
      <c r="EZ33" s="68"/>
      <c r="FA33" s="69">
        <v>41742</v>
      </c>
      <c r="FB33" s="68">
        <f t="shared" si="8"/>
        <v>10</v>
      </c>
      <c r="FC33" s="68"/>
    </row>
    <row r="34" spans="1:165" s="76" customFormat="1" x14ac:dyDescent="0.25">
      <c r="A34" s="111" t="s">
        <v>284</v>
      </c>
      <c r="B34" s="70" t="s">
        <v>198</v>
      </c>
      <c r="C34" s="70" t="s">
        <v>157</v>
      </c>
      <c r="D34" s="68" t="str">
        <f t="shared" si="0"/>
        <v xml:space="preserve">74 Y 3 M </v>
      </c>
      <c r="E34" s="68">
        <v>2</v>
      </c>
      <c r="F34" s="69">
        <v>14593</v>
      </c>
      <c r="G34" s="69">
        <v>41733</v>
      </c>
      <c r="H34" s="73">
        <v>162.6</v>
      </c>
      <c r="I34" s="73">
        <v>84.2</v>
      </c>
      <c r="J34" s="73">
        <f t="shared" si="11"/>
        <v>54.73629998000002</v>
      </c>
      <c r="K34" s="74">
        <f t="shared" si="12"/>
        <v>31.847181940454096</v>
      </c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73">
        <v>11.8</v>
      </c>
      <c r="AL34" s="68">
        <v>35.1</v>
      </c>
      <c r="AM34" s="68">
        <v>1.05</v>
      </c>
      <c r="AN34" s="68"/>
      <c r="AO34" s="68"/>
      <c r="AP34" s="68">
        <v>179</v>
      </c>
      <c r="AQ34" s="68">
        <v>56</v>
      </c>
      <c r="AR34" s="73">
        <f t="shared" ref="AR34:AR43" si="18">((AP34-AQ34)*1/3)+AQ34</f>
        <v>97</v>
      </c>
      <c r="AS34" s="68">
        <f t="shared" ref="AS34:AS43" si="19">(AP34*0.2+AP34)</f>
        <v>214.8</v>
      </c>
      <c r="AT34" s="68">
        <f t="shared" ref="AT34:AT43" si="20">(AP34-AP34*0.2)</f>
        <v>143.19999999999999</v>
      </c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81">
        <v>3700</v>
      </c>
      <c r="CA34" s="68">
        <v>0</v>
      </c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>
        <v>0</v>
      </c>
      <c r="CP34" s="68"/>
      <c r="CQ34" s="68"/>
      <c r="CR34" s="68"/>
      <c r="CS34" s="68"/>
      <c r="CT34" s="68"/>
      <c r="CU34" s="68">
        <v>300</v>
      </c>
      <c r="CV34" s="68">
        <f t="shared" ref="CV34:CV43" si="21">BZ34</f>
        <v>3700</v>
      </c>
      <c r="CW34" s="108">
        <v>0.58333333333333337</v>
      </c>
      <c r="CX34" s="68" t="s">
        <v>252</v>
      </c>
      <c r="CY34" s="103"/>
      <c r="CZ34" s="104"/>
      <c r="DA34" s="68"/>
      <c r="DB34" s="68"/>
      <c r="DC34" s="75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>
        <v>0</v>
      </c>
      <c r="DS34" s="68">
        <v>7</v>
      </c>
      <c r="DT34" s="68">
        <v>0</v>
      </c>
      <c r="DU34" s="68">
        <v>0</v>
      </c>
      <c r="DV34" s="68">
        <v>0</v>
      </c>
      <c r="DW34" s="68">
        <v>0</v>
      </c>
      <c r="DX34" s="68">
        <v>6</v>
      </c>
      <c r="DY34" s="73">
        <v>10.3</v>
      </c>
      <c r="DZ34" s="68">
        <v>10.6</v>
      </c>
      <c r="EA34" s="68">
        <v>9.6999999999999993</v>
      </c>
      <c r="EB34" s="68">
        <v>8.8000000000000007</v>
      </c>
      <c r="EC34" s="124">
        <v>8.8000000000000007</v>
      </c>
      <c r="ED34" s="68">
        <v>31.6</v>
      </c>
      <c r="EE34" s="68">
        <v>32</v>
      </c>
      <c r="EF34" s="68">
        <v>30.3</v>
      </c>
      <c r="EG34" s="68">
        <v>26.3</v>
      </c>
      <c r="EH34" s="68">
        <v>26.3</v>
      </c>
      <c r="EI34" s="68">
        <v>1.1299999999999999</v>
      </c>
      <c r="EJ34" s="68">
        <v>1.1399999999999999</v>
      </c>
      <c r="EK34" s="68">
        <v>1.1299999999999999</v>
      </c>
      <c r="EL34" s="68">
        <v>0.99</v>
      </c>
      <c r="EM34" s="68">
        <v>0.96</v>
      </c>
      <c r="EN34" s="68">
        <v>143</v>
      </c>
      <c r="EO34" s="68">
        <v>262</v>
      </c>
      <c r="EP34" s="68">
        <v>143</v>
      </c>
      <c r="EQ34" s="68">
        <v>132</v>
      </c>
      <c r="ER34" s="68">
        <v>99</v>
      </c>
      <c r="ES34" s="68">
        <v>114</v>
      </c>
      <c r="ET34" s="68"/>
      <c r="EU34" s="68"/>
      <c r="EV34" s="68"/>
      <c r="EW34" s="68"/>
      <c r="EX34" s="68"/>
      <c r="EY34" s="68"/>
      <c r="EZ34" s="68">
        <v>0</v>
      </c>
      <c r="FA34" s="69">
        <v>41753</v>
      </c>
      <c r="FB34" s="68">
        <f t="shared" si="8"/>
        <v>20</v>
      </c>
      <c r="FC34" s="68"/>
      <c r="FD34" s="68"/>
    </row>
    <row r="35" spans="1:165" s="76" customFormat="1" x14ac:dyDescent="0.25">
      <c r="A35" s="111" t="s">
        <v>283</v>
      </c>
      <c r="B35" s="70" t="s">
        <v>199</v>
      </c>
      <c r="C35" s="70" t="s">
        <v>157</v>
      </c>
      <c r="D35" s="68" t="str">
        <f t="shared" si="0"/>
        <v xml:space="preserve">75 Y 3 M </v>
      </c>
      <c r="E35" s="68">
        <v>1</v>
      </c>
      <c r="F35" s="69">
        <v>14235</v>
      </c>
      <c r="G35" s="69">
        <v>41739</v>
      </c>
      <c r="H35" s="73">
        <v>170.5</v>
      </c>
      <c r="I35" s="73">
        <v>67.7</v>
      </c>
      <c r="J35" s="73">
        <f t="shared" si="11"/>
        <v>66.389847150000023</v>
      </c>
      <c r="K35" s="74">
        <f t="shared" si="12"/>
        <v>23.288413412337352</v>
      </c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73">
        <v>13.3</v>
      </c>
      <c r="AL35" s="68">
        <v>37.299999999999997</v>
      </c>
      <c r="AM35" s="68">
        <v>1.18</v>
      </c>
      <c r="AN35" s="68"/>
      <c r="AO35" s="68"/>
      <c r="AP35" s="68">
        <v>120</v>
      </c>
      <c r="AQ35" s="68">
        <v>70</v>
      </c>
      <c r="AR35" s="73">
        <f t="shared" si="18"/>
        <v>86.666666666666671</v>
      </c>
      <c r="AS35" s="68">
        <f t="shared" si="19"/>
        <v>144</v>
      </c>
      <c r="AT35" s="68">
        <f t="shared" si="20"/>
        <v>96</v>
      </c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81">
        <v>4400</v>
      </c>
      <c r="CA35" s="68">
        <v>0</v>
      </c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>
        <v>0</v>
      </c>
      <c r="CP35" s="68"/>
      <c r="CQ35" s="68"/>
      <c r="CR35" s="68"/>
      <c r="CS35" s="68"/>
      <c r="CT35" s="68"/>
      <c r="CU35" s="68">
        <v>250</v>
      </c>
      <c r="CV35" s="68">
        <f t="shared" si="21"/>
        <v>4400</v>
      </c>
      <c r="CW35" s="108">
        <v>0.81805555555555554</v>
      </c>
      <c r="CX35" s="108">
        <v>0.84375</v>
      </c>
      <c r="CY35" s="103">
        <f>CX35-CW35</f>
        <v>2.5694444444444464E-2</v>
      </c>
      <c r="CZ35" s="104">
        <f t="shared" si="9"/>
        <v>37.000000000000028</v>
      </c>
      <c r="DA35" s="68"/>
      <c r="DB35" s="68"/>
      <c r="DC35" s="75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>
        <v>0</v>
      </c>
      <c r="DS35" s="68">
        <v>0</v>
      </c>
      <c r="DT35" s="68">
        <v>3</v>
      </c>
      <c r="DU35" s="68">
        <v>0</v>
      </c>
      <c r="DV35" s="68">
        <v>0</v>
      </c>
      <c r="DW35" s="68">
        <v>0</v>
      </c>
      <c r="DX35" s="68">
        <v>4</v>
      </c>
      <c r="DY35" s="73">
        <v>9.5</v>
      </c>
      <c r="DZ35" s="68">
        <v>9.1</v>
      </c>
      <c r="EA35" s="68">
        <v>8.9</v>
      </c>
      <c r="EB35" s="68">
        <v>8.8000000000000007</v>
      </c>
      <c r="EC35" s="124">
        <v>9.3000000000000007</v>
      </c>
      <c r="ED35" s="68">
        <v>26.7</v>
      </c>
      <c r="EE35" s="68">
        <v>26</v>
      </c>
      <c r="EF35" s="68">
        <v>25.5</v>
      </c>
      <c r="EG35" s="68">
        <v>25.2</v>
      </c>
      <c r="EH35" s="68">
        <v>26.4</v>
      </c>
      <c r="EI35" s="68">
        <v>1</v>
      </c>
      <c r="EJ35" s="68">
        <v>0.99</v>
      </c>
      <c r="EK35" s="68">
        <v>1.03</v>
      </c>
      <c r="EL35" s="68">
        <v>0.87</v>
      </c>
      <c r="EM35" s="68">
        <v>0.81</v>
      </c>
      <c r="EN35" s="68"/>
      <c r="EO35" s="68">
        <v>131</v>
      </c>
      <c r="EP35" s="68">
        <v>130</v>
      </c>
      <c r="EQ35" s="68">
        <v>124</v>
      </c>
      <c r="ER35" s="68">
        <v>105</v>
      </c>
      <c r="ES35" s="68">
        <v>101</v>
      </c>
      <c r="ET35" s="68"/>
      <c r="EU35" s="68"/>
      <c r="EV35" s="68"/>
      <c r="EW35" s="68"/>
      <c r="EX35" s="68"/>
      <c r="EY35" s="68"/>
      <c r="EZ35" s="68">
        <v>0</v>
      </c>
      <c r="FA35" s="69">
        <v>41746</v>
      </c>
      <c r="FB35" s="68">
        <f t="shared" si="8"/>
        <v>7</v>
      </c>
      <c r="FC35" s="68" t="s">
        <v>339</v>
      </c>
      <c r="FD35" s="68"/>
    </row>
    <row r="36" spans="1:165" s="76" customFormat="1" x14ac:dyDescent="0.25">
      <c r="A36" s="111" t="s">
        <v>277</v>
      </c>
      <c r="B36" s="70" t="s">
        <v>200</v>
      </c>
      <c r="C36" s="70" t="s">
        <v>157</v>
      </c>
      <c r="D36" s="68" t="str">
        <f t="shared" si="0"/>
        <v xml:space="preserve">35 Y 7 M </v>
      </c>
      <c r="E36" s="68">
        <v>2</v>
      </c>
      <c r="F36" s="69">
        <v>28727</v>
      </c>
      <c r="G36" s="69">
        <v>41740</v>
      </c>
      <c r="H36" s="73">
        <v>162.30000000000001</v>
      </c>
      <c r="I36" s="73">
        <v>67.400000000000006</v>
      </c>
      <c r="J36" s="73">
        <f t="shared" si="11"/>
        <v>54.464646290000026</v>
      </c>
      <c r="K36" s="74">
        <f t="shared" si="12"/>
        <v>25.587205486139815</v>
      </c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73">
        <v>13</v>
      </c>
      <c r="AL36" s="68">
        <v>38.6</v>
      </c>
      <c r="AM36" s="68">
        <v>0.78</v>
      </c>
      <c r="AN36" s="68"/>
      <c r="AO36" s="68"/>
      <c r="AP36" s="68">
        <v>123</v>
      </c>
      <c r="AQ36" s="68">
        <v>60</v>
      </c>
      <c r="AR36" s="73">
        <f t="shared" si="18"/>
        <v>81</v>
      </c>
      <c r="AS36" s="68">
        <f t="shared" si="19"/>
        <v>147.6</v>
      </c>
      <c r="AT36" s="68">
        <f t="shared" si="20"/>
        <v>98.4</v>
      </c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81">
        <v>5000</v>
      </c>
      <c r="CA36" s="68">
        <v>0</v>
      </c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>
        <v>0</v>
      </c>
      <c r="CP36" s="68"/>
      <c r="CQ36" s="68"/>
      <c r="CR36" s="68"/>
      <c r="CS36" s="68"/>
      <c r="CT36" s="68"/>
      <c r="CU36" s="68">
        <v>350</v>
      </c>
      <c r="CV36" s="68">
        <f t="shared" si="21"/>
        <v>5000</v>
      </c>
      <c r="CW36" s="108">
        <v>0.51736111111111105</v>
      </c>
      <c r="CX36" s="108">
        <v>0.70000000000000007</v>
      </c>
      <c r="CY36" s="103">
        <f>CX36-CW36</f>
        <v>0.18263888888888902</v>
      </c>
      <c r="CZ36" s="104">
        <f t="shared" si="9"/>
        <v>263.00000000000017</v>
      </c>
      <c r="DA36" s="68"/>
      <c r="DB36" s="68"/>
      <c r="DC36" s="75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>
        <v>8</v>
      </c>
      <c r="DS36" s="68">
        <v>10</v>
      </c>
      <c r="DT36" s="68">
        <v>2</v>
      </c>
      <c r="DU36" s="68">
        <v>3</v>
      </c>
      <c r="DV36" s="68">
        <v>10</v>
      </c>
      <c r="DW36" s="68">
        <v>0</v>
      </c>
      <c r="DX36" s="68">
        <v>0</v>
      </c>
      <c r="DY36" s="73">
        <v>10.9</v>
      </c>
      <c r="DZ36" s="68">
        <v>11.1</v>
      </c>
      <c r="EA36" s="68">
        <v>10.6</v>
      </c>
      <c r="EB36" s="68">
        <v>10.6</v>
      </c>
      <c r="EC36" s="124">
        <v>10.199999999999999</v>
      </c>
      <c r="ED36" s="68">
        <v>32.299999999999997</v>
      </c>
      <c r="EE36" s="68">
        <v>33.799999999999997</v>
      </c>
      <c r="EF36" s="68">
        <v>32.1</v>
      </c>
      <c r="EG36" s="68">
        <v>30.5</v>
      </c>
      <c r="EH36" s="68">
        <v>30.9</v>
      </c>
      <c r="EI36" s="68">
        <v>0.69</v>
      </c>
      <c r="EJ36" s="68">
        <v>0.65</v>
      </c>
      <c r="EK36" s="68">
        <v>0.6</v>
      </c>
      <c r="EL36" s="68">
        <v>0.62</v>
      </c>
      <c r="EM36" s="68">
        <v>0.62</v>
      </c>
      <c r="EN36" s="68"/>
      <c r="EO36" s="68">
        <v>122</v>
      </c>
      <c r="EP36" s="68">
        <v>119</v>
      </c>
      <c r="EQ36" s="68">
        <v>104</v>
      </c>
      <c r="ER36" s="68">
        <v>97</v>
      </c>
      <c r="ES36" s="68">
        <v>102</v>
      </c>
      <c r="ET36" s="68"/>
      <c r="EU36" s="68"/>
      <c r="EV36" s="68"/>
      <c r="EW36" s="68"/>
      <c r="EX36" s="68"/>
      <c r="EY36" s="68"/>
      <c r="EZ36" s="68">
        <v>0</v>
      </c>
      <c r="FA36" s="69">
        <v>41749</v>
      </c>
      <c r="FB36" s="68">
        <f t="shared" si="8"/>
        <v>9</v>
      </c>
      <c r="FC36" s="68"/>
      <c r="FD36" s="68"/>
    </row>
    <row r="37" spans="1:165" s="76" customFormat="1" x14ac:dyDescent="0.25">
      <c r="A37" s="111" t="s">
        <v>275</v>
      </c>
      <c r="B37" s="70" t="s">
        <v>202</v>
      </c>
      <c r="C37" s="70" t="s">
        <v>157</v>
      </c>
      <c r="D37" s="68" t="str">
        <f t="shared" si="0"/>
        <v xml:space="preserve">76 Y 5 M </v>
      </c>
      <c r="E37" s="68">
        <v>1</v>
      </c>
      <c r="F37" s="69">
        <v>13838</v>
      </c>
      <c r="G37" s="69">
        <v>41753</v>
      </c>
      <c r="H37" s="73">
        <v>172.7</v>
      </c>
      <c r="I37" s="73">
        <v>90.5</v>
      </c>
      <c r="J37" s="73">
        <f t="shared" si="11"/>
        <v>68.381974209999981</v>
      </c>
      <c r="K37" s="74">
        <f t="shared" si="12"/>
        <v>30.343376376223002</v>
      </c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73">
        <v>9.9</v>
      </c>
      <c r="AL37" s="68">
        <v>29.8</v>
      </c>
      <c r="AM37" s="68">
        <v>1.1100000000000001</v>
      </c>
      <c r="AN37" s="68"/>
      <c r="AO37" s="68"/>
      <c r="AP37" s="68">
        <v>122</v>
      </c>
      <c r="AQ37" s="68">
        <v>60</v>
      </c>
      <c r="AR37" s="73">
        <f t="shared" si="18"/>
        <v>80.666666666666671</v>
      </c>
      <c r="AS37" s="68">
        <f t="shared" si="19"/>
        <v>146.4</v>
      </c>
      <c r="AT37" s="68">
        <f t="shared" si="20"/>
        <v>97.6</v>
      </c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81">
        <v>6300</v>
      </c>
      <c r="CA37" s="68">
        <v>0</v>
      </c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>
        <v>2</v>
      </c>
      <c r="CP37" s="68"/>
      <c r="CQ37" s="68"/>
      <c r="CR37" s="68"/>
      <c r="CS37" s="68"/>
      <c r="CT37" s="68"/>
      <c r="CU37" s="68">
        <v>450</v>
      </c>
      <c r="CV37" s="68">
        <f t="shared" si="21"/>
        <v>6300</v>
      </c>
      <c r="CW37" s="108">
        <v>0.63888888888888895</v>
      </c>
      <c r="CX37" s="108">
        <v>0.75</v>
      </c>
      <c r="CY37" s="103">
        <f>CX37-CW37</f>
        <v>0.11111111111111105</v>
      </c>
      <c r="CZ37" s="104">
        <f t="shared" si="9"/>
        <v>159.99999999999991</v>
      </c>
      <c r="DA37" s="68"/>
      <c r="DB37" s="68"/>
      <c r="DC37" s="75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>
        <v>0</v>
      </c>
      <c r="DS37" s="68">
        <v>0</v>
      </c>
      <c r="DT37" s="68">
        <v>0</v>
      </c>
      <c r="DU37" s="68">
        <v>0</v>
      </c>
      <c r="DV37" s="68">
        <v>0</v>
      </c>
      <c r="DW37" s="68">
        <v>0</v>
      </c>
      <c r="DX37" s="68">
        <v>0</v>
      </c>
      <c r="DY37" s="73">
        <v>10.9</v>
      </c>
      <c r="DZ37" s="68">
        <v>9.3000000000000007</v>
      </c>
      <c r="EA37" s="68">
        <v>8.5</v>
      </c>
      <c r="EB37" s="68">
        <v>8.3000000000000007</v>
      </c>
      <c r="EC37" s="124">
        <v>8.4</v>
      </c>
      <c r="ED37" s="68">
        <v>32.4</v>
      </c>
      <c r="EE37" s="68">
        <v>28</v>
      </c>
      <c r="EF37" s="68">
        <v>24.6</v>
      </c>
      <c r="EG37" s="68">
        <v>25.4</v>
      </c>
      <c r="EH37" s="68">
        <v>24.2</v>
      </c>
      <c r="EI37" s="68">
        <v>1.07</v>
      </c>
      <c r="EJ37" s="68">
        <v>1.01</v>
      </c>
      <c r="EK37" s="68">
        <v>0.86</v>
      </c>
      <c r="EL37" s="68">
        <v>0.9</v>
      </c>
      <c r="EM37" s="68">
        <v>1</v>
      </c>
      <c r="EN37" s="68"/>
      <c r="EO37" s="68">
        <v>138</v>
      </c>
      <c r="EP37" s="68">
        <v>108</v>
      </c>
      <c r="EQ37" s="68">
        <v>117</v>
      </c>
      <c r="ER37" s="68">
        <v>115</v>
      </c>
      <c r="ES37" s="68">
        <v>104</v>
      </c>
      <c r="ET37" s="68"/>
      <c r="EU37" s="68"/>
      <c r="EV37" s="68"/>
      <c r="EW37" s="68"/>
      <c r="EX37" s="68"/>
      <c r="EY37" s="68"/>
      <c r="EZ37" s="68">
        <v>0</v>
      </c>
      <c r="FA37" s="69">
        <v>41761</v>
      </c>
      <c r="FB37" s="68">
        <f t="shared" si="8"/>
        <v>8</v>
      </c>
      <c r="FC37" s="68"/>
      <c r="FD37" s="68"/>
    </row>
    <row r="38" spans="1:165" s="76" customFormat="1" x14ac:dyDescent="0.25">
      <c r="A38" s="111" t="s">
        <v>327</v>
      </c>
      <c r="B38" s="70" t="s">
        <v>203</v>
      </c>
      <c r="C38" s="70" t="s">
        <v>157</v>
      </c>
      <c r="D38" s="68" t="str">
        <f t="shared" si="0"/>
        <v xml:space="preserve">52 Y 8 M </v>
      </c>
      <c r="E38" s="68">
        <v>2</v>
      </c>
      <c r="F38" s="69">
        <v>22510</v>
      </c>
      <c r="G38" s="69">
        <v>41754</v>
      </c>
      <c r="H38" s="73">
        <v>164.6</v>
      </c>
      <c r="I38" s="73">
        <v>79.2</v>
      </c>
      <c r="J38" s="73">
        <f t="shared" si="11"/>
        <v>56.547324579999987</v>
      </c>
      <c r="K38" s="74">
        <f t="shared" si="12"/>
        <v>29.232470483324946</v>
      </c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73">
        <v>10.8</v>
      </c>
      <c r="AL38" s="68">
        <v>31.3</v>
      </c>
      <c r="AM38" s="68">
        <v>0.45</v>
      </c>
      <c r="AN38" s="68"/>
      <c r="AO38" s="68"/>
      <c r="AP38" s="68">
        <v>111</v>
      </c>
      <c r="AQ38" s="68">
        <v>56</v>
      </c>
      <c r="AR38" s="73">
        <f t="shared" si="18"/>
        <v>74.333333333333329</v>
      </c>
      <c r="AS38" s="68">
        <f t="shared" si="19"/>
        <v>133.19999999999999</v>
      </c>
      <c r="AT38" s="68">
        <f t="shared" si="20"/>
        <v>88.8</v>
      </c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81">
        <v>2400</v>
      </c>
      <c r="CA38" s="68">
        <v>0</v>
      </c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>
        <v>0</v>
      </c>
      <c r="CP38" s="68"/>
      <c r="CQ38" s="68"/>
      <c r="CR38" s="68"/>
      <c r="CS38" s="68"/>
      <c r="CT38" s="68"/>
      <c r="CU38" s="68">
        <v>1250</v>
      </c>
      <c r="CV38" s="68">
        <f t="shared" si="21"/>
        <v>2400</v>
      </c>
      <c r="CW38" s="108">
        <v>0.56666666666666665</v>
      </c>
      <c r="CX38" s="108">
        <v>0.64930555555555558</v>
      </c>
      <c r="CY38" s="103">
        <f>CX38-CW38</f>
        <v>8.2638888888888928E-2</v>
      </c>
      <c r="CZ38" s="104">
        <f t="shared" si="9"/>
        <v>119.00000000000006</v>
      </c>
      <c r="DA38" s="68"/>
      <c r="DB38" s="68"/>
      <c r="DC38" s="75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>
        <v>0</v>
      </c>
      <c r="DS38" s="68">
        <v>0</v>
      </c>
      <c r="DT38" s="68">
        <v>2</v>
      </c>
      <c r="DU38" s="68">
        <v>0</v>
      </c>
      <c r="DV38" s="68">
        <v>0</v>
      </c>
      <c r="DW38" s="68">
        <v>0</v>
      </c>
      <c r="DX38" s="68">
        <v>0</v>
      </c>
      <c r="DY38" s="73">
        <v>9.3000000000000007</v>
      </c>
      <c r="DZ38" s="68">
        <v>8.1</v>
      </c>
      <c r="EA38" s="68">
        <v>8</v>
      </c>
      <c r="EB38" s="68">
        <v>8</v>
      </c>
      <c r="EC38" s="124">
        <v>8.4</v>
      </c>
      <c r="ED38" s="68">
        <v>27.4</v>
      </c>
      <c r="EE38" s="68">
        <v>23.4</v>
      </c>
      <c r="EF38" s="68">
        <v>23.1</v>
      </c>
      <c r="EG38" s="68">
        <v>23.6</v>
      </c>
      <c r="EH38" s="68">
        <v>25.6</v>
      </c>
      <c r="EI38" s="68">
        <v>0.62</v>
      </c>
      <c r="EJ38" s="68">
        <v>0.59</v>
      </c>
      <c r="EK38" s="68">
        <v>0.53</v>
      </c>
      <c r="EL38" s="68">
        <v>0.56000000000000005</v>
      </c>
      <c r="EM38" s="68">
        <v>0.56999999999999995</v>
      </c>
      <c r="EN38" s="68"/>
      <c r="EO38" s="68">
        <v>113</v>
      </c>
      <c r="EP38" s="68">
        <v>119</v>
      </c>
      <c r="EQ38" s="68">
        <v>110</v>
      </c>
      <c r="ER38" s="68">
        <v>103</v>
      </c>
      <c r="ES38" s="68">
        <v>117</v>
      </c>
      <c r="ET38" s="68"/>
      <c r="EU38" s="68"/>
      <c r="EV38" s="68"/>
      <c r="EW38" s="68"/>
      <c r="EX38" s="68"/>
      <c r="EY38" s="68"/>
      <c r="EZ38" s="68">
        <v>0</v>
      </c>
      <c r="FA38" s="69">
        <v>41761</v>
      </c>
      <c r="FB38" s="68">
        <f t="shared" si="8"/>
        <v>7</v>
      </c>
      <c r="FC38" s="68"/>
      <c r="FD38" s="68"/>
    </row>
    <row r="39" spans="1:165" s="76" customFormat="1" x14ac:dyDescent="0.25">
      <c r="A39" s="111" t="s">
        <v>272</v>
      </c>
      <c r="B39" s="71">
        <v>100033727759</v>
      </c>
      <c r="C39" s="71" t="s">
        <v>157</v>
      </c>
      <c r="D39" s="68" t="str">
        <f t="shared" si="0"/>
        <v xml:space="preserve">59 Y 6 M </v>
      </c>
      <c r="E39" s="68">
        <v>2</v>
      </c>
      <c r="F39" s="69">
        <v>20024</v>
      </c>
      <c r="G39" s="69">
        <v>41774</v>
      </c>
      <c r="H39" s="73">
        <v>165.1</v>
      </c>
      <c r="I39" s="73">
        <v>119.9</v>
      </c>
      <c r="J39" s="73">
        <f t="shared" si="11"/>
        <v>57.000080730000008</v>
      </c>
      <c r="K39" s="74">
        <f t="shared" si="12"/>
        <v>43.987070222661153</v>
      </c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73">
        <v>16</v>
      </c>
      <c r="AL39" s="68">
        <v>48.4</v>
      </c>
      <c r="AM39" s="68">
        <v>0.59</v>
      </c>
      <c r="AN39" s="68"/>
      <c r="AO39" s="68"/>
      <c r="AP39" s="68">
        <v>141</v>
      </c>
      <c r="AQ39" s="68">
        <v>87</v>
      </c>
      <c r="AR39" s="73">
        <f t="shared" si="18"/>
        <v>105</v>
      </c>
      <c r="AS39" s="68">
        <f t="shared" si="19"/>
        <v>169.2</v>
      </c>
      <c r="AT39" s="68">
        <f t="shared" si="20"/>
        <v>112.8</v>
      </c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81">
        <v>6600</v>
      </c>
      <c r="CA39" s="68">
        <v>1000</v>
      </c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>
        <v>0</v>
      </c>
      <c r="CP39" s="68"/>
      <c r="CQ39" s="68"/>
      <c r="CR39" s="68"/>
      <c r="CS39" s="68"/>
      <c r="CT39" s="68"/>
      <c r="CU39" s="68">
        <v>1200</v>
      </c>
      <c r="CV39" s="68">
        <f t="shared" si="21"/>
        <v>6600</v>
      </c>
      <c r="CW39" s="108">
        <v>0.64374999999999993</v>
      </c>
      <c r="CX39" s="108">
        <v>0.72916666666666663</v>
      </c>
      <c r="CY39" s="103">
        <f>CX39-CW39</f>
        <v>8.5416666666666696E-2</v>
      </c>
      <c r="CZ39" s="104">
        <f t="shared" si="9"/>
        <v>123.00000000000004</v>
      </c>
      <c r="DA39" s="68"/>
      <c r="DB39" s="68"/>
      <c r="DC39" s="75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>
        <v>0</v>
      </c>
      <c r="DS39" s="68">
        <v>0</v>
      </c>
      <c r="DT39" s="68">
        <v>0</v>
      </c>
      <c r="DU39" s="68">
        <v>0</v>
      </c>
      <c r="DV39" s="68">
        <v>0</v>
      </c>
      <c r="DW39" s="68">
        <v>0</v>
      </c>
      <c r="DX39" s="68">
        <v>7</v>
      </c>
      <c r="DY39" s="73">
        <v>12.3</v>
      </c>
      <c r="DZ39" s="68">
        <v>10.6</v>
      </c>
      <c r="EA39" s="68">
        <v>10.4</v>
      </c>
      <c r="EB39" s="68">
        <v>10.5</v>
      </c>
      <c r="EC39" s="124">
        <v>9.8000000000000007</v>
      </c>
      <c r="ED39" s="68">
        <v>38</v>
      </c>
      <c r="EE39" s="68">
        <v>31.4</v>
      </c>
      <c r="EF39" s="68">
        <v>30.5</v>
      </c>
      <c r="EG39" s="68">
        <v>31.3</v>
      </c>
      <c r="EH39" s="68">
        <v>28.5</v>
      </c>
      <c r="EI39" s="68">
        <v>0.67</v>
      </c>
      <c r="EJ39" s="68">
        <v>0.74</v>
      </c>
      <c r="EK39" s="68">
        <v>0.67</v>
      </c>
      <c r="EL39" s="68">
        <v>0.56000000000000005</v>
      </c>
      <c r="EM39" s="68">
        <v>0.55000000000000004</v>
      </c>
      <c r="EN39" s="68"/>
      <c r="EO39" s="68">
        <v>327</v>
      </c>
      <c r="EP39" s="68">
        <v>275</v>
      </c>
      <c r="EQ39" s="68">
        <v>225</v>
      </c>
      <c r="ER39" s="68">
        <v>155</v>
      </c>
      <c r="ES39" s="68">
        <v>134</v>
      </c>
      <c r="ET39" s="68"/>
      <c r="EU39" s="68"/>
      <c r="EV39" s="68"/>
      <c r="EW39" s="68"/>
      <c r="EX39" s="68"/>
      <c r="EY39" s="68"/>
      <c r="EZ39" s="68">
        <v>0</v>
      </c>
      <c r="FA39" s="69">
        <v>41783</v>
      </c>
      <c r="FB39" s="68">
        <f t="shared" si="8"/>
        <v>9</v>
      </c>
      <c r="FC39" s="68"/>
      <c r="FD39" s="68"/>
    </row>
    <row r="40" spans="1:165" s="76" customFormat="1" x14ac:dyDescent="0.25">
      <c r="A40" s="111" t="s">
        <v>281</v>
      </c>
      <c r="B40" s="71">
        <v>100033687862</v>
      </c>
      <c r="C40" s="71" t="s">
        <v>157</v>
      </c>
      <c r="D40" s="68" t="str">
        <f t="shared" si="0"/>
        <v xml:space="preserve">93 Y 6 M </v>
      </c>
      <c r="E40" s="68">
        <v>1</v>
      </c>
      <c r="F40" s="69">
        <v>7623</v>
      </c>
      <c r="G40" s="69">
        <v>41788</v>
      </c>
      <c r="H40" s="73">
        <v>160</v>
      </c>
      <c r="I40" s="73">
        <v>58.968000000000004</v>
      </c>
      <c r="J40" s="73">
        <f t="shared" si="11"/>
        <v>56.881968000000015</v>
      </c>
      <c r="K40" s="74">
        <f t="shared" si="12"/>
        <v>23.034374999999997</v>
      </c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73">
        <v>12.3</v>
      </c>
      <c r="AL40" s="68">
        <v>34.6</v>
      </c>
      <c r="AM40" s="68">
        <v>0.93</v>
      </c>
      <c r="AN40" s="68"/>
      <c r="AO40" s="68"/>
      <c r="AP40" s="68">
        <v>177</v>
      </c>
      <c r="AQ40" s="68">
        <v>77</v>
      </c>
      <c r="AR40" s="73">
        <f t="shared" si="18"/>
        <v>110.33333333333334</v>
      </c>
      <c r="AS40" s="68">
        <f t="shared" si="19"/>
        <v>212.4</v>
      </c>
      <c r="AT40" s="68">
        <f t="shared" si="20"/>
        <v>141.6</v>
      </c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81">
        <v>4600</v>
      </c>
      <c r="CA40" s="68">
        <v>750</v>
      </c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>
        <v>2</v>
      </c>
      <c r="CP40" s="68"/>
      <c r="CQ40" s="68"/>
      <c r="CR40" s="68"/>
      <c r="CS40" s="68"/>
      <c r="CT40" s="68"/>
      <c r="CU40" s="68">
        <v>400</v>
      </c>
      <c r="CV40" s="68">
        <f t="shared" si="21"/>
        <v>4600</v>
      </c>
      <c r="CW40" s="68" t="s">
        <v>335</v>
      </c>
      <c r="CX40" s="68" t="s">
        <v>335</v>
      </c>
      <c r="CY40" s="103"/>
      <c r="CZ40" s="104"/>
      <c r="DA40" s="68"/>
      <c r="DB40" s="68"/>
      <c r="DC40" s="75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>
        <v>0</v>
      </c>
      <c r="DT40" s="68">
        <v>0</v>
      </c>
      <c r="DU40" s="68">
        <v>0</v>
      </c>
      <c r="DV40" s="68">
        <v>0</v>
      </c>
      <c r="DW40" s="68">
        <v>0</v>
      </c>
      <c r="DX40" s="68">
        <v>4</v>
      </c>
      <c r="DY40" s="73">
        <v>10.3</v>
      </c>
      <c r="DZ40" s="68">
        <v>10.3</v>
      </c>
      <c r="EA40" s="68">
        <v>9.3000000000000007</v>
      </c>
      <c r="EB40" s="68">
        <v>10</v>
      </c>
      <c r="EC40" s="124">
        <v>9.8000000000000007</v>
      </c>
      <c r="ED40" s="68">
        <v>28.9</v>
      </c>
      <c r="EE40" s="68">
        <v>29.8</v>
      </c>
      <c r="EF40" s="68">
        <v>27.4</v>
      </c>
      <c r="EG40" s="68">
        <v>28.2</v>
      </c>
      <c r="EH40" s="68">
        <v>28.2</v>
      </c>
      <c r="EI40" s="68">
        <v>0.81</v>
      </c>
      <c r="EJ40" s="68">
        <v>0.81</v>
      </c>
      <c r="EK40" s="68">
        <v>0.83</v>
      </c>
      <c r="EL40" s="68"/>
      <c r="EM40" s="68"/>
      <c r="EN40" s="68"/>
      <c r="EO40" s="68">
        <v>160</v>
      </c>
      <c r="EP40" s="68">
        <v>141</v>
      </c>
      <c r="EQ40" s="68">
        <v>151</v>
      </c>
      <c r="ER40" s="68">
        <v>166</v>
      </c>
      <c r="ES40" s="68">
        <v>175</v>
      </c>
      <c r="ET40" s="68"/>
      <c r="EU40" s="68"/>
      <c r="EV40" s="68"/>
      <c r="EW40" s="68"/>
      <c r="EX40" s="68"/>
      <c r="EY40" s="68"/>
      <c r="EZ40" s="68">
        <v>2</v>
      </c>
      <c r="FA40" s="69">
        <v>41809</v>
      </c>
      <c r="FB40" s="68">
        <f t="shared" si="8"/>
        <v>21</v>
      </c>
      <c r="FC40" s="68"/>
      <c r="FD40" s="68"/>
    </row>
    <row r="41" spans="1:165" s="76" customFormat="1" x14ac:dyDescent="0.25">
      <c r="A41" s="111" t="s">
        <v>280</v>
      </c>
      <c r="B41" s="70" t="s">
        <v>207</v>
      </c>
      <c r="C41" s="70" t="s">
        <v>157</v>
      </c>
      <c r="D41" s="68" t="str">
        <f t="shared" si="0"/>
        <v xml:space="preserve">64 Y 9 M </v>
      </c>
      <c r="E41" s="68">
        <v>1</v>
      </c>
      <c r="F41" s="69">
        <v>18139</v>
      </c>
      <c r="G41" s="69">
        <v>41795</v>
      </c>
      <c r="H41" s="122" t="s">
        <v>252</v>
      </c>
      <c r="I41" s="122" t="s">
        <v>252</v>
      </c>
      <c r="J41" s="122" t="s">
        <v>252</v>
      </c>
      <c r="K41" s="122" t="s">
        <v>252</v>
      </c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73">
        <v>9.4</v>
      </c>
      <c r="AL41" s="68">
        <v>29.2</v>
      </c>
      <c r="AM41" s="68">
        <v>0.79</v>
      </c>
      <c r="AN41" s="68"/>
      <c r="AO41" s="68"/>
      <c r="AP41" s="68">
        <v>142</v>
      </c>
      <c r="AQ41" s="68">
        <v>87</v>
      </c>
      <c r="AR41" s="73">
        <f t="shared" si="18"/>
        <v>105.33333333333333</v>
      </c>
      <c r="AS41" s="68">
        <f t="shared" si="19"/>
        <v>170.4</v>
      </c>
      <c r="AT41" s="68">
        <f t="shared" si="20"/>
        <v>113.6</v>
      </c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81">
        <v>4650</v>
      </c>
      <c r="CA41" s="68">
        <v>750</v>
      </c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>
        <v>0</v>
      </c>
      <c r="CP41" s="68"/>
      <c r="CQ41" s="68"/>
      <c r="CR41" s="68"/>
      <c r="CS41" s="68"/>
      <c r="CT41" s="68"/>
      <c r="CU41" s="68">
        <v>600</v>
      </c>
      <c r="CV41" s="68">
        <f t="shared" si="21"/>
        <v>4650</v>
      </c>
      <c r="CW41" s="108">
        <v>0.69513888888888886</v>
      </c>
      <c r="CX41" s="108">
        <v>0.75694444444444453</v>
      </c>
      <c r="CY41" s="103">
        <f>CX41-CW41</f>
        <v>6.1805555555555669E-2</v>
      </c>
      <c r="CZ41" s="104">
        <f t="shared" si="9"/>
        <v>89.000000000000171</v>
      </c>
      <c r="DA41" s="68"/>
      <c r="DB41" s="68"/>
      <c r="DC41" s="75"/>
      <c r="DD41" s="68"/>
      <c r="DE41" s="68"/>
      <c r="DF41" s="68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8"/>
      <c r="DS41" s="68">
        <v>8</v>
      </c>
      <c r="DT41" s="68">
        <v>5</v>
      </c>
      <c r="DU41" s="68">
        <v>3</v>
      </c>
      <c r="DV41" s="68">
        <v>5</v>
      </c>
      <c r="DW41" s="68">
        <v>0</v>
      </c>
      <c r="DX41" s="68">
        <v>5</v>
      </c>
      <c r="DY41" s="73">
        <v>8.9</v>
      </c>
      <c r="DZ41" s="68">
        <v>8</v>
      </c>
      <c r="EA41" s="68">
        <v>7.8</v>
      </c>
      <c r="EB41" s="68">
        <v>8.1</v>
      </c>
      <c r="EC41" s="124">
        <v>8.4</v>
      </c>
      <c r="ED41" s="68">
        <v>26.9</v>
      </c>
      <c r="EE41" s="68">
        <v>24.3</v>
      </c>
      <c r="EF41" s="68">
        <v>23.4</v>
      </c>
      <c r="EG41" s="68">
        <v>24.7</v>
      </c>
      <c r="EH41" s="68">
        <v>25.2</v>
      </c>
      <c r="EI41" s="68">
        <v>0.82</v>
      </c>
      <c r="EJ41" s="68">
        <v>0.77</v>
      </c>
      <c r="EK41" s="68">
        <v>0.74</v>
      </c>
      <c r="EL41" s="68">
        <v>0.8</v>
      </c>
      <c r="EM41" s="68">
        <v>0.8</v>
      </c>
      <c r="EN41" s="68"/>
      <c r="EO41" s="68">
        <v>103</v>
      </c>
      <c r="EP41" s="68">
        <v>111</v>
      </c>
      <c r="EQ41" s="68">
        <v>98</v>
      </c>
      <c r="ER41" s="68">
        <v>99</v>
      </c>
      <c r="ES41" s="68">
        <v>93</v>
      </c>
      <c r="ET41" s="68"/>
      <c r="EU41" s="68"/>
      <c r="EV41" s="68"/>
      <c r="EW41" s="68"/>
      <c r="EX41" s="68"/>
      <c r="EY41" s="68"/>
      <c r="EZ41" s="68">
        <v>0</v>
      </c>
      <c r="FA41" s="69">
        <v>41801</v>
      </c>
      <c r="FB41" s="68">
        <f t="shared" si="8"/>
        <v>6</v>
      </c>
      <c r="FC41" s="68"/>
      <c r="FD41" s="68"/>
    </row>
    <row r="42" spans="1:165" s="76" customFormat="1" x14ac:dyDescent="0.25">
      <c r="A42" s="111" t="s">
        <v>279</v>
      </c>
      <c r="B42" s="70" t="s">
        <v>208</v>
      </c>
      <c r="C42" s="70" t="s">
        <v>157</v>
      </c>
      <c r="D42" s="68" t="str">
        <f t="shared" si="0"/>
        <v xml:space="preserve">44 Y 7 M </v>
      </c>
      <c r="E42" s="68">
        <v>2</v>
      </c>
      <c r="F42" s="69">
        <v>25495</v>
      </c>
      <c r="G42" s="69">
        <v>41802</v>
      </c>
      <c r="H42" s="73">
        <f>SQRT(I42/K42)*100</f>
        <v>162.20569914804014</v>
      </c>
      <c r="I42" s="73">
        <v>110.768</v>
      </c>
      <c r="J42" s="73">
        <f>IF(E42=1,50+2.3*(H42*0.393701-60),IF(E42=2,45.5+2.3*(H42*0.393701-60)))</f>
        <v>54.379255708649879</v>
      </c>
      <c r="K42" s="122">
        <v>42.1</v>
      </c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73">
        <v>12.6</v>
      </c>
      <c r="AL42" s="68">
        <v>37.4</v>
      </c>
      <c r="AM42" s="68">
        <v>1.03</v>
      </c>
      <c r="AN42" s="68"/>
      <c r="AO42" s="68"/>
      <c r="AP42" s="68">
        <v>101</v>
      </c>
      <c r="AQ42" s="68">
        <v>53</v>
      </c>
      <c r="AR42" s="73">
        <f t="shared" si="18"/>
        <v>69</v>
      </c>
      <c r="AS42" s="68">
        <f t="shared" si="19"/>
        <v>121.2</v>
      </c>
      <c r="AT42" s="68">
        <f t="shared" si="20"/>
        <v>80.8</v>
      </c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81">
        <v>4300</v>
      </c>
      <c r="CA42" s="68">
        <v>500</v>
      </c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>
        <v>0</v>
      </c>
      <c r="CP42" s="68"/>
      <c r="CQ42" s="68"/>
      <c r="CR42" s="68"/>
      <c r="CS42" s="68"/>
      <c r="CT42" s="68"/>
      <c r="CU42" s="68">
        <v>900</v>
      </c>
      <c r="CV42" s="68">
        <f t="shared" si="21"/>
        <v>4300</v>
      </c>
      <c r="CW42" s="108">
        <v>0.64374999999999993</v>
      </c>
      <c r="CX42" s="108">
        <v>0.80833333333333324</v>
      </c>
      <c r="CY42" s="103">
        <f>CX42-CW42</f>
        <v>0.1645833333333333</v>
      </c>
      <c r="CZ42" s="104">
        <f t="shared" si="9"/>
        <v>236.99999999999994</v>
      </c>
      <c r="DA42" s="68"/>
      <c r="DB42" s="68"/>
      <c r="DC42" s="75"/>
      <c r="DD42" s="68"/>
      <c r="DE42" s="68"/>
      <c r="DF42" s="68"/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8"/>
      <c r="DS42" s="68">
        <v>10</v>
      </c>
      <c r="DT42" s="68">
        <v>10</v>
      </c>
      <c r="DU42" s="68">
        <v>10</v>
      </c>
      <c r="DV42" s="68">
        <v>9</v>
      </c>
      <c r="DW42" s="68">
        <v>8</v>
      </c>
      <c r="DX42" s="68">
        <v>10</v>
      </c>
      <c r="DY42" s="68">
        <v>9.3000000000000007</v>
      </c>
      <c r="DZ42" s="68">
        <v>9.4</v>
      </c>
      <c r="EA42" s="68">
        <v>9.3000000000000007</v>
      </c>
      <c r="EB42" s="68">
        <v>8.6</v>
      </c>
      <c r="EC42" s="124">
        <v>10.4</v>
      </c>
      <c r="ED42" s="68">
        <v>28.3</v>
      </c>
      <c r="EE42" s="68">
        <v>28</v>
      </c>
      <c r="EF42" s="68">
        <v>28.5</v>
      </c>
      <c r="EG42" s="68">
        <v>26.5</v>
      </c>
      <c r="EH42" s="68">
        <v>30.8</v>
      </c>
      <c r="EI42" s="68">
        <v>0.79</v>
      </c>
      <c r="EJ42" s="68">
        <v>0.85</v>
      </c>
      <c r="EK42" s="68">
        <v>0.85</v>
      </c>
      <c r="EL42" s="68">
        <v>0.78</v>
      </c>
      <c r="EM42" s="68">
        <v>0.8</v>
      </c>
      <c r="EN42" s="68"/>
      <c r="EO42" s="68">
        <v>113</v>
      </c>
      <c r="EP42" s="68">
        <v>108</v>
      </c>
      <c r="EQ42" s="68">
        <v>179</v>
      </c>
      <c r="ER42" s="127">
        <v>211</v>
      </c>
      <c r="ES42" s="68">
        <v>117</v>
      </c>
      <c r="ET42" s="68"/>
      <c r="EU42" s="68"/>
      <c r="EV42" s="68"/>
      <c r="EW42" s="68"/>
      <c r="EX42" s="68"/>
      <c r="EY42" s="68"/>
      <c r="EZ42" s="68">
        <v>0</v>
      </c>
      <c r="FA42" s="69">
        <v>41810</v>
      </c>
      <c r="FB42" s="68">
        <f t="shared" si="8"/>
        <v>8</v>
      </c>
      <c r="FC42" s="68"/>
      <c r="FD42" s="68"/>
    </row>
    <row r="43" spans="1:165" s="76" customFormat="1" x14ac:dyDescent="0.25">
      <c r="A43" s="111" t="s">
        <v>278</v>
      </c>
      <c r="B43" s="71">
        <v>100007789959</v>
      </c>
      <c r="C43" s="71" t="s">
        <v>157</v>
      </c>
      <c r="D43" s="68" t="str">
        <f t="shared" si="0"/>
        <v xml:space="preserve">64 Y 9 M </v>
      </c>
      <c r="E43" s="68">
        <v>2</v>
      </c>
      <c r="F43" s="69">
        <v>18130</v>
      </c>
      <c r="G43" s="69">
        <v>41803</v>
      </c>
      <c r="H43" s="73">
        <v>162.6</v>
      </c>
      <c r="I43" s="73">
        <v>69.8</v>
      </c>
      <c r="J43" s="73">
        <f>IF(E43=1,50+2.3*(H43*0.393701-60),IF(E43=2,45.5+2.3*(H43*0.393701-60)))</f>
        <v>54.73629998000002</v>
      </c>
      <c r="K43" s="73">
        <f>I43/((H43/100)*(H43/100))</f>
        <v>26.40063301002014</v>
      </c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73">
        <v>14</v>
      </c>
      <c r="AL43" s="68">
        <v>39.799999999999997</v>
      </c>
      <c r="AM43" s="68">
        <v>0.65</v>
      </c>
      <c r="AN43" s="68"/>
      <c r="AO43" s="68"/>
      <c r="AP43" s="68">
        <v>136</v>
      </c>
      <c r="AQ43" s="68">
        <v>63</v>
      </c>
      <c r="AR43" s="73">
        <f t="shared" si="18"/>
        <v>87.333333333333329</v>
      </c>
      <c r="AS43" s="68">
        <f t="shared" si="19"/>
        <v>163.19999999999999</v>
      </c>
      <c r="AT43" s="68">
        <f t="shared" si="20"/>
        <v>108.8</v>
      </c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81">
        <v>3700</v>
      </c>
      <c r="CA43" s="68">
        <v>500</v>
      </c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>
        <v>0</v>
      </c>
      <c r="CP43" s="68"/>
      <c r="CQ43" s="68"/>
      <c r="CR43" s="68"/>
      <c r="CS43" s="68"/>
      <c r="CT43" s="68"/>
      <c r="CU43" s="68">
        <v>500</v>
      </c>
      <c r="CV43" s="68">
        <f t="shared" si="21"/>
        <v>3700</v>
      </c>
      <c r="CW43" s="108">
        <v>0.58958333333333335</v>
      </c>
      <c r="CX43" s="108">
        <v>0.65416666666666667</v>
      </c>
      <c r="CY43" s="103">
        <f>CX43-CW43</f>
        <v>6.4583333333333326E-2</v>
      </c>
      <c r="CZ43" s="104">
        <f t="shared" si="9"/>
        <v>92.999999999999986</v>
      </c>
      <c r="DA43" s="68"/>
      <c r="DB43" s="68"/>
      <c r="DC43" s="75"/>
      <c r="DD43" s="68"/>
      <c r="DE43" s="68"/>
      <c r="DF43" s="68"/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8"/>
      <c r="DS43" s="68">
        <v>2</v>
      </c>
      <c r="DT43" s="68">
        <v>0</v>
      </c>
      <c r="DU43" s="68">
        <v>8</v>
      </c>
      <c r="DV43" s="68">
        <v>3</v>
      </c>
      <c r="DW43" s="68">
        <v>0</v>
      </c>
      <c r="DX43" s="68">
        <v>4</v>
      </c>
      <c r="DY43" s="68">
        <v>10.199999999999999</v>
      </c>
      <c r="DZ43" s="68">
        <v>9.9</v>
      </c>
      <c r="EA43" s="68">
        <v>10.5</v>
      </c>
      <c r="EB43" s="68">
        <v>10.9</v>
      </c>
      <c r="EC43" s="126">
        <v>10.1</v>
      </c>
      <c r="ED43" s="68">
        <v>29.7</v>
      </c>
      <c r="EE43" s="68">
        <v>29.1</v>
      </c>
      <c r="EF43" s="68">
        <v>30.6</v>
      </c>
      <c r="EG43" s="68">
        <v>32.1</v>
      </c>
      <c r="EH43" s="68">
        <v>29.3</v>
      </c>
      <c r="EI43" s="68">
        <v>0.63</v>
      </c>
      <c r="EJ43" s="68">
        <v>0.61</v>
      </c>
      <c r="EK43" s="68">
        <v>0.57999999999999996</v>
      </c>
      <c r="EL43" s="68">
        <v>0.62</v>
      </c>
      <c r="EM43" s="68">
        <v>0.62</v>
      </c>
      <c r="EN43" s="68"/>
      <c r="EO43" s="68">
        <v>114</v>
      </c>
      <c r="EP43" s="68">
        <v>121</v>
      </c>
      <c r="EQ43" s="68">
        <v>107</v>
      </c>
      <c r="ER43" s="68">
        <v>123</v>
      </c>
      <c r="ES43" s="68">
        <v>112</v>
      </c>
      <c r="ET43" s="68"/>
      <c r="EU43" s="68"/>
      <c r="EV43" s="68"/>
      <c r="EW43" s="68"/>
      <c r="EX43" s="68"/>
      <c r="EY43" s="68"/>
      <c r="EZ43" s="68">
        <v>0</v>
      </c>
      <c r="FA43" s="69">
        <v>41814</v>
      </c>
      <c r="FB43" s="68">
        <f t="shared" si="8"/>
        <v>11</v>
      </c>
      <c r="FC43" s="68"/>
      <c r="FD43" s="68"/>
    </row>
    <row r="44" spans="1:165" s="76" customFormat="1" x14ac:dyDescent="0.25">
      <c r="A44" s="111"/>
      <c r="B44" s="71"/>
      <c r="C44" s="71"/>
      <c r="D44" s="68"/>
      <c r="E44" s="68"/>
      <c r="F44" s="69"/>
      <c r="G44" s="69"/>
      <c r="H44" s="73"/>
      <c r="I44" s="73"/>
      <c r="J44" s="73"/>
      <c r="K44" s="73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73"/>
      <c r="AL44" s="68"/>
      <c r="AM44" s="68"/>
      <c r="AN44" s="68"/>
      <c r="AO44" s="68"/>
      <c r="AP44" s="68"/>
      <c r="AQ44" s="68"/>
      <c r="AR44" s="73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81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108"/>
      <c r="CX44" s="108"/>
      <c r="CY44" s="103"/>
      <c r="CZ44" s="104"/>
      <c r="DA44" s="68"/>
      <c r="DB44" s="68"/>
      <c r="DC44" s="75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126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9"/>
      <c r="FB44" s="68"/>
      <c r="FC44" s="68"/>
      <c r="FD44" s="68"/>
    </row>
    <row r="45" spans="1:165" s="25" customFormat="1" x14ac:dyDescent="0.25">
      <c r="A45" s="115" t="s">
        <v>129</v>
      </c>
      <c r="B45" s="56" t="s">
        <v>159</v>
      </c>
      <c r="C45" s="45" t="s">
        <v>157</v>
      </c>
      <c r="D45" s="54" t="str">
        <f t="shared" ref="D45:D64" si="22">IF(DATEDIF(F45,G45,"y")=0," ",DATEDIF(F45,G45,"y")&amp;" Y ")&amp;IF(DATEDIF(F45,G45,"ym")=0,"",DATEDIF(F45,G45,"ym")&amp;" M ")</f>
        <v xml:space="preserve">66 Y 7 M </v>
      </c>
      <c r="E45" s="54">
        <v>1</v>
      </c>
      <c r="F45" s="182">
        <v>17496</v>
      </c>
      <c r="G45" s="182">
        <v>41830</v>
      </c>
      <c r="H45" s="183">
        <v>162.6</v>
      </c>
      <c r="I45" s="183">
        <v>54.5</v>
      </c>
      <c r="J45" s="54">
        <v>59.2</v>
      </c>
      <c r="K45" s="54">
        <v>20.399999999999999</v>
      </c>
      <c r="L45" s="54">
        <v>1</v>
      </c>
      <c r="M45" s="54">
        <v>1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183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  <c r="AH45" s="54">
        <v>0</v>
      </c>
      <c r="AI45" s="54">
        <v>60</v>
      </c>
      <c r="AJ45" s="54">
        <v>0</v>
      </c>
      <c r="AK45" s="183">
        <v>11.6</v>
      </c>
      <c r="AL45" s="54">
        <v>35.9</v>
      </c>
      <c r="AM45" s="54">
        <v>1.31</v>
      </c>
      <c r="AN45" s="54">
        <v>55</v>
      </c>
      <c r="AO45" s="54">
        <v>6.3</v>
      </c>
      <c r="AP45" s="183">
        <v>138</v>
      </c>
      <c r="AQ45" s="183">
        <v>73</v>
      </c>
      <c r="AR45" s="183">
        <v>95</v>
      </c>
      <c r="AS45" s="183">
        <v>165</v>
      </c>
      <c r="AT45" s="183">
        <v>111</v>
      </c>
      <c r="AU45" s="184">
        <v>0.46875</v>
      </c>
      <c r="AV45" s="184">
        <v>0.47361111111111115</v>
      </c>
      <c r="AW45" s="185">
        <v>0.7909722222222223</v>
      </c>
      <c r="AX45" s="185">
        <v>0.3979166666666667</v>
      </c>
      <c r="AY45" s="54">
        <v>8</v>
      </c>
      <c r="AZ45" s="54">
        <v>1</v>
      </c>
      <c r="BA45" s="54">
        <v>1000</v>
      </c>
      <c r="BB45" s="54">
        <v>179</v>
      </c>
      <c r="BC45" s="54">
        <v>94</v>
      </c>
      <c r="BD45" s="54">
        <v>124</v>
      </c>
      <c r="BE45" s="54">
        <v>67</v>
      </c>
      <c r="BF45" s="54">
        <v>1</v>
      </c>
      <c r="BG45" s="54">
        <v>80</v>
      </c>
      <c r="BH45" s="54">
        <v>50</v>
      </c>
      <c r="BI45" s="54">
        <v>0.4</v>
      </c>
      <c r="BJ45" s="54">
        <v>5</v>
      </c>
      <c r="BK45" s="54">
        <v>79</v>
      </c>
      <c r="BL45" s="54">
        <v>36</v>
      </c>
      <c r="BM45" s="54">
        <v>48</v>
      </c>
      <c r="BN45" s="54">
        <v>3</v>
      </c>
      <c r="BO45" s="54"/>
      <c r="BP45" s="54">
        <v>0.2</v>
      </c>
      <c r="BQ45" s="54">
        <v>1</v>
      </c>
      <c r="BR45" s="54">
        <v>253</v>
      </c>
      <c r="BS45" s="54">
        <v>440</v>
      </c>
      <c r="BT45" s="54">
        <v>5</v>
      </c>
      <c r="BU45" s="54">
        <v>0</v>
      </c>
      <c r="BV45" s="54">
        <v>0</v>
      </c>
      <c r="BW45" s="54">
        <v>100</v>
      </c>
      <c r="BX45" s="54">
        <v>0.4</v>
      </c>
      <c r="BY45" s="54">
        <v>1441</v>
      </c>
      <c r="BZ45" s="54">
        <v>2200</v>
      </c>
      <c r="CA45" s="54">
        <v>1000</v>
      </c>
      <c r="CB45" s="54">
        <v>5</v>
      </c>
      <c r="CC45" s="54">
        <v>15</v>
      </c>
      <c r="CD45" s="54">
        <v>6</v>
      </c>
      <c r="CE45" s="54">
        <v>8</v>
      </c>
      <c r="CF45" s="54">
        <v>6</v>
      </c>
      <c r="CG45" s="54">
        <v>5</v>
      </c>
      <c r="CH45" s="54">
        <v>7</v>
      </c>
      <c r="CI45" s="54"/>
      <c r="CJ45" s="54">
        <v>3</v>
      </c>
      <c r="CK45" s="54">
        <v>8</v>
      </c>
      <c r="CL45" s="54"/>
      <c r="CM45" s="54">
        <v>7.2</v>
      </c>
      <c r="CN45" s="54">
        <v>175</v>
      </c>
      <c r="CO45" s="54">
        <v>1</v>
      </c>
      <c r="CP45" s="54">
        <v>1</v>
      </c>
      <c r="CQ45" s="54">
        <v>0</v>
      </c>
      <c r="CR45" s="54">
        <v>0</v>
      </c>
      <c r="CS45" s="54">
        <v>0</v>
      </c>
      <c r="CT45" s="54">
        <v>0</v>
      </c>
      <c r="CU45" s="54">
        <v>500</v>
      </c>
      <c r="CV45" s="54">
        <f t="shared" ref="CV45:CV56" si="23">SUM(BY45:BZ45)</f>
        <v>3641</v>
      </c>
      <c r="CW45" s="259">
        <v>0.78472222222222221</v>
      </c>
      <c r="CX45" s="259">
        <v>0.83333333333333337</v>
      </c>
      <c r="CY45" s="185">
        <f>CX45-CW45</f>
        <v>4.861111111111116E-2</v>
      </c>
      <c r="CZ45" s="186">
        <f t="shared" si="9"/>
        <v>70.000000000000071</v>
      </c>
      <c r="DA45" s="54">
        <v>132</v>
      </c>
      <c r="DB45" s="54">
        <v>72</v>
      </c>
      <c r="DC45" s="183">
        <v>92</v>
      </c>
      <c r="DD45" s="54">
        <v>84</v>
      </c>
      <c r="DE45" s="54">
        <v>2</v>
      </c>
      <c r="DF45" s="54">
        <v>1</v>
      </c>
      <c r="DG45" s="54">
        <v>2</v>
      </c>
      <c r="DH45" s="54">
        <v>2</v>
      </c>
      <c r="DI45" s="54"/>
      <c r="DJ45" s="54"/>
      <c r="DK45" s="54"/>
      <c r="DL45" s="54"/>
      <c r="DM45" s="54"/>
      <c r="DN45" s="54">
        <v>0</v>
      </c>
      <c r="DO45" s="54"/>
      <c r="DP45" s="54"/>
      <c r="DQ45" s="54">
        <v>5</v>
      </c>
      <c r="DR45" s="54">
        <v>0</v>
      </c>
      <c r="DS45" s="54">
        <v>0</v>
      </c>
      <c r="DT45" s="54">
        <v>0</v>
      </c>
      <c r="DU45" s="54">
        <v>0</v>
      </c>
      <c r="DV45" s="54">
        <v>0</v>
      </c>
      <c r="DW45" s="54">
        <v>0</v>
      </c>
      <c r="DX45" s="54">
        <v>0</v>
      </c>
      <c r="DY45" s="54">
        <v>10.199999999999999</v>
      </c>
      <c r="DZ45" s="54">
        <v>9.6999999999999993</v>
      </c>
      <c r="EA45" s="54">
        <v>9.3000000000000007</v>
      </c>
      <c r="EB45" s="54">
        <v>8.1</v>
      </c>
      <c r="EC45" s="188">
        <v>9</v>
      </c>
      <c r="ED45" s="54">
        <v>29.7</v>
      </c>
      <c r="EE45" s="54">
        <v>28.9</v>
      </c>
      <c r="EF45" s="54">
        <v>29.7</v>
      </c>
      <c r="EG45" s="54">
        <v>25.1</v>
      </c>
      <c r="EH45" s="189">
        <v>26.8</v>
      </c>
      <c r="EI45" s="54">
        <v>0.92</v>
      </c>
      <c r="EJ45" s="54">
        <v>0.9</v>
      </c>
      <c r="EK45" s="54">
        <v>0.84</v>
      </c>
      <c r="EL45" s="54">
        <v>0.89</v>
      </c>
      <c r="EM45" s="54">
        <v>0.86</v>
      </c>
      <c r="EN45" s="54">
        <v>197</v>
      </c>
      <c r="EO45" s="54">
        <v>302</v>
      </c>
      <c r="EP45" s="54">
        <v>122</v>
      </c>
      <c r="EQ45" s="54">
        <v>390</v>
      </c>
      <c r="ER45" s="54">
        <v>371</v>
      </c>
      <c r="ES45" s="54">
        <v>321</v>
      </c>
      <c r="ET45" s="54"/>
      <c r="EU45" s="54"/>
      <c r="EV45" s="54"/>
      <c r="EW45" s="54"/>
      <c r="EX45" s="54"/>
      <c r="EY45" s="54"/>
      <c r="EZ45" s="54">
        <v>0</v>
      </c>
      <c r="FA45" s="190">
        <v>41837</v>
      </c>
      <c r="FB45" s="54">
        <v>7</v>
      </c>
      <c r="FC45" s="54"/>
      <c r="FH45" s="65"/>
      <c r="FI45" s="182"/>
    </row>
    <row r="46" spans="1:165" s="25" customFormat="1" x14ac:dyDescent="0.25">
      <c r="A46" s="92" t="s">
        <v>130</v>
      </c>
      <c r="B46" s="192" t="s">
        <v>162</v>
      </c>
      <c r="C46" s="54" t="s">
        <v>157</v>
      </c>
      <c r="D46" s="195" t="str">
        <f t="shared" si="22"/>
        <v xml:space="preserve">85 Y 9 M </v>
      </c>
      <c r="E46" s="54">
        <v>1</v>
      </c>
      <c r="F46" s="182">
        <v>10520</v>
      </c>
      <c r="G46" s="182">
        <v>41858</v>
      </c>
      <c r="H46" s="183">
        <v>157.5</v>
      </c>
      <c r="I46" s="183">
        <v>62.188000000000002</v>
      </c>
      <c r="J46" s="183">
        <f t="shared" ref="J46:J56" si="24">IF(E46=1,50+2.3*(H46*0.393701-60),IF(E46=2,45.5+2.3*(H46*0.393701-60)))</f>
        <v>54.618187250000005</v>
      </c>
      <c r="K46" s="193">
        <f t="shared" ref="K46:K56" si="25">I46/((H46/100)*(H46/100))</f>
        <v>25.069488536155205</v>
      </c>
      <c r="L46" s="54">
        <v>0</v>
      </c>
      <c r="M46" s="54">
        <v>1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0</v>
      </c>
      <c r="X46" s="54">
        <v>0</v>
      </c>
      <c r="Y46" s="183">
        <v>0</v>
      </c>
      <c r="Z46" s="54">
        <v>1</v>
      </c>
      <c r="AA46" s="54">
        <v>2</v>
      </c>
      <c r="AB46" s="54">
        <v>360</v>
      </c>
      <c r="AC46" s="54">
        <v>0</v>
      </c>
      <c r="AD46" s="54">
        <v>0</v>
      </c>
      <c r="AE46" s="54">
        <v>0</v>
      </c>
      <c r="AF46" s="54">
        <v>0</v>
      </c>
      <c r="AG46" s="54">
        <v>0</v>
      </c>
      <c r="AH46" s="54">
        <v>0</v>
      </c>
      <c r="AI46" s="54"/>
      <c r="AJ46" s="54"/>
      <c r="AK46" s="183">
        <v>11.8</v>
      </c>
      <c r="AL46" s="54">
        <v>36.799999999999997</v>
      </c>
      <c r="AM46" s="54">
        <v>1.1299999999999999</v>
      </c>
      <c r="AN46" s="54" t="s">
        <v>128</v>
      </c>
      <c r="AO46" s="54"/>
      <c r="AP46" s="183">
        <v>126.5</v>
      </c>
      <c r="AQ46" s="183">
        <v>70.25</v>
      </c>
      <c r="AR46" s="183">
        <f t="shared" ref="AR46:AR56" si="26">((AP46-AQ46)*1/3)+AQ46</f>
        <v>89</v>
      </c>
      <c r="AS46" s="183">
        <f t="shared" ref="AS46:AS56" si="27">(AP46*0.2+AP46)</f>
        <v>151.80000000000001</v>
      </c>
      <c r="AT46" s="183">
        <f t="shared" ref="AT46:AT56" si="28">(AP46-AP46*0.2)</f>
        <v>101.2</v>
      </c>
      <c r="AU46" s="184">
        <v>0.4604166666666667</v>
      </c>
      <c r="AV46" s="184">
        <v>0.47152777777777777</v>
      </c>
      <c r="AW46" s="185">
        <v>0.81180555555555556</v>
      </c>
      <c r="AX46" s="185">
        <v>0.41666666666666669</v>
      </c>
      <c r="AY46" s="54">
        <v>8.1</v>
      </c>
      <c r="AZ46" s="54">
        <v>1</v>
      </c>
      <c r="BA46" s="54">
        <v>1000</v>
      </c>
      <c r="BB46" s="54">
        <v>98</v>
      </c>
      <c r="BC46" s="54">
        <v>53</v>
      </c>
      <c r="BD46" s="54">
        <v>66</v>
      </c>
      <c r="BE46" s="54">
        <v>57</v>
      </c>
      <c r="BF46" s="54">
        <v>1</v>
      </c>
      <c r="BG46" s="54">
        <v>20</v>
      </c>
      <c r="BH46" s="54">
        <v>50</v>
      </c>
      <c r="BI46" s="54">
        <v>0.5</v>
      </c>
      <c r="BJ46" s="54"/>
      <c r="BK46" s="54">
        <v>73</v>
      </c>
      <c r="BL46" s="54">
        <v>52</v>
      </c>
      <c r="BM46" s="54">
        <v>60</v>
      </c>
      <c r="BN46" s="54">
        <v>0</v>
      </c>
      <c r="BO46" s="54">
        <v>43</v>
      </c>
      <c r="BP46" s="54">
        <v>0</v>
      </c>
      <c r="BQ46" s="54">
        <v>1</v>
      </c>
      <c r="BR46" s="54">
        <v>782</v>
      </c>
      <c r="BS46" s="54">
        <v>480</v>
      </c>
      <c r="BT46" s="54">
        <v>10</v>
      </c>
      <c r="BU46" s="54">
        <v>0</v>
      </c>
      <c r="BV46" s="54">
        <v>0</v>
      </c>
      <c r="BW46" s="54">
        <v>100</v>
      </c>
      <c r="BX46" s="54">
        <v>0</v>
      </c>
      <c r="BY46" s="54">
        <v>2879</v>
      </c>
      <c r="BZ46" s="54">
        <v>1300</v>
      </c>
      <c r="CA46" s="54">
        <v>1250</v>
      </c>
      <c r="CB46" s="54"/>
      <c r="CC46" s="54"/>
      <c r="CD46" s="54"/>
      <c r="CE46" s="54"/>
      <c r="CF46" s="54"/>
      <c r="CG46" s="54"/>
      <c r="CH46" s="54"/>
      <c r="CI46" s="54"/>
      <c r="CJ46" s="54"/>
      <c r="CK46" s="54">
        <v>10.8</v>
      </c>
      <c r="CL46" s="54">
        <v>113</v>
      </c>
      <c r="CM46" s="54">
        <v>9.1</v>
      </c>
      <c r="CN46" s="54">
        <v>137</v>
      </c>
      <c r="CO46" s="54">
        <v>0</v>
      </c>
      <c r="CP46" s="54">
        <v>1</v>
      </c>
      <c r="CQ46" s="54">
        <v>0</v>
      </c>
      <c r="CR46" s="54">
        <v>0</v>
      </c>
      <c r="CS46" s="54">
        <v>0</v>
      </c>
      <c r="CT46" s="54">
        <v>1</v>
      </c>
      <c r="CU46" s="54">
        <v>500</v>
      </c>
      <c r="CV46" s="54">
        <f t="shared" si="23"/>
        <v>4179</v>
      </c>
      <c r="CW46" s="259"/>
      <c r="CX46" s="242"/>
      <c r="CY46" s="185"/>
      <c r="CZ46" s="186"/>
      <c r="DA46" s="54">
        <v>119</v>
      </c>
      <c r="DB46" s="54">
        <v>105</v>
      </c>
      <c r="DC46" s="183">
        <f t="shared" ref="DC46:DC56" si="29">((DA46-DB46)*1/3)+DB46</f>
        <v>109.66666666666667</v>
      </c>
      <c r="DD46" s="54">
        <v>121</v>
      </c>
      <c r="DE46" s="54">
        <v>4</v>
      </c>
      <c r="DF46" s="54">
        <v>2</v>
      </c>
      <c r="DG46" s="54">
        <v>1</v>
      </c>
      <c r="DH46" s="54">
        <v>2</v>
      </c>
      <c r="DI46" s="54"/>
      <c r="DJ46" s="54"/>
      <c r="DK46" s="54"/>
      <c r="DL46" s="54"/>
      <c r="DM46" s="54"/>
      <c r="DN46" s="54">
        <v>3</v>
      </c>
      <c r="DO46" s="54">
        <v>3</v>
      </c>
      <c r="DP46" s="54">
        <v>6</v>
      </c>
      <c r="DQ46" s="54">
        <v>5</v>
      </c>
      <c r="DR46" s="54">
        <v>0</v>
      </c>
      <c r="DS46" s="54">
        <v>0</v>
      </c>
      <c r="DT46" s="54">
        <v>0</v>
      </c>
      <c r="DU46" s="54">
        <v>0</v>
      </c>
      <c r="DV46" s="54">
        <v>0</v>
      </c>
      <c r="DW46" s="54">
        <v>0</v>
      </c>
      <c r="DX46" s="54">
        <v>0</v>
      </c>
      <c r="DY46" s="54">
        <v>7.9</v>
      </c>
      <c r="DZ46" s="54">
        <v>9.6999999999999993</v>
      </c>
      <c r="EA46" s="54">
        <v>10.4</v>
      </c>
      <c r="EB46" s="54">
        <v>10.4</v>
      </c>
      <c r="EC46" s="188">
        <v>9.6</v>
      </c>
      <c r="ED46" s="54">
        <v>25.2</v>
      </c>
      <c r="EE46" s="54">
        <v>30.4</v>
      </c>
      <c r="EF46" s="54">
        <v>32.1</v>
      </c>
      <c r="EG46" s="54">
        <v>32.200000000000003</v>
      </c>
      <c r="EH46" s="189">
        <v>29</v>
      </c>
      <c r="EI46" s="54">
        <v>1.02</v>
      </c>
      <c r="EJ46" s="54">
        <v>0.97</v>
      </c>
      <c r="EK46" s="54">
        <v>0.98</v>
      </c>
      <c r="EL46" s="54">
        <v>1.06</v>
      </c>
      <c r="EM46" s="54">
        <v>0.97</v>
      </c>
      <c r="EN46" s="54">
        <v>122</v>
      </c>
      <c r="EO46" s="54">
        <v>83</v>
      </c>
      <c r="EP46" s="54">
        <v>108</v>
      </c>
      <c r="EQ46" s="54">
        <v>124</v>
      </c>
      <c r="ER46" s="54">
        <v>113</v>
      </c>
      <c r="ES46" s="54">
        <v>96</v>
      </c>
      <c r="ET46" s="54"/>
      <c r="EU46" s="54"/>
      <c r="EV46" s="54"/>
      <c r="EW46" s="54"/>
      <c r="EX46" s="54"/>
      <c r="EY46" s="54"/>
      <c r="EZ46" s="54">
        <v>4</v>
      </c>
      <c r="FA46" s="190">
        <v>41870</v>
      </c>
      <c r="FB46" s="186">
        <f t="shared" ref="FB46:FB64" si="30">(FA46-G46)</f>
        <v>12</v>
      </c>
      <c r="FC46" s="54"/>
      <c r="FH46" s="194"/>
      <c r="FI46" s="194"/>
    </row>
    <row r="47" spans="1:165" s="25" customFormat="1" x14ac:dyDescent="0.25">
      <c r="A47" s="92" t="s">
        <v>131</v>
      </c>
      <c r="B47" s="56" t="s">
        <v>163</v>
      </c>
      <c r="C47" s="54" t="s">
        <v>157</v>
      </c>
      <c r="D47" s="54" t="str">
        <f t="shared" si="22"/>
        <v xml:space="preserve">69 Y 11 M </v>
      </c>
      <c r="E47" s="54">
        <v>1</v>
      </c>
      <c r="F47" s="182">
        <v>16307</v>
      </c>
      <c r="G47" s="182">
        <v>41873</v>
      </c>
      <c r="H47" s="183">
        <v>187.4</v>
      </c>
      <c r="I47" s="183">
        <v>87.1</v>
      </c>
      <c r="J47" s="183">
        <f t="shared" si="24"/>
        <v>81.693005020000015</v>
      </c>
      <c r="K47" s="193">
        <f t="shared" si="25"/>
        <v>24.801559052768372</v>
      </c>
      <c r="L47" s="54">
        <v>1</v>
      </c>
      <c r="M47" s="54">
        <v>1</v>
      </c>
      <c r="N47" s="54">
        <v>0</v>
      </c>
      <c r="O47" s="54">
        <v>0</v>
      </c>
      <c r="P47" s="54">
        <v>0</v>
      </c>
      <c r="Q47" s="54">
        <v>1</v>
      </c>
      <c r="R47" s="54">
        <v>1</v>
      </c>
      <c r="S47" s="54">
        <v>20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183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1</v>
      </c>
      <c r="AG47" s="54">
        <v>1</v>
      </c>
      <c r="AH47" s="54">
        <v>12.5</v>
      </c>
      <c r="AI47" s="54"/>
      <c r="AJ47" s="54"/>
      <c r="AK47" s="183">
        <v>13.4</v>
      </c>
      <c r="AL47" s="54">
        <v>40.1</v>
      </c>
      <c r="AM47" s="54">
        <v>0.92</v>
      </c>
      <c r="AN47" s="54" t="s">
        <v>128</v>
      </c>
      <c r="AO47" s="54"/>
      <c r="AP47" s="183">
        <v>124</v>
      </c>
      <c r="AQ47" s="183">
        <v>72</v>
      </c>
      <c r="AR47" s="183">
        <f t="shared" si="26"/>
        <v>89.333333333333329</v>
      </c>
      <c r="AS47" s="183">
        <f t="shared" si="27"/>
        <v>148.80000000000001</v>
      </c>
      <c r="AT47" s="183">
        <f t="shared" si="28"/>
        <v>99.2</v>
      </c>
      <c r="AU47" s="184">
        <v>0.31180555555555556</v>
      </c>
      <c r="AV47" s="184">
        <v>0.31666666666666665</v>
      </c>
      <c r="AW47" s="185">
        <v>0.6020833333333333</v>
      </c>
      <c r="AX47" s="185">
        <v>0.24305555555555555</v>
      </c>
      <c r="AY47" s="54">
        <v>8</v>
      </c>
      <c r="AZ47" s="54">
        <v>1</v>
      </c>
      <c r="BA47" s="54">
        <v>1000</v>
      </c>
      <c r="BB47" s="54">
        <v>121</v>
      </c>
      <c r="BC47" s="54">
        <v>58</v>
      </c>
      <c r="BD47" s="54">
        <v>79</v>
      </c>
      <c r="BE47" s="54">
        <v>59</v>
      </c>
      <c r="BF47" s="54">
        <v>1</v>
      </c>
      <c r="BG47" s="54">
        <v>80</v>
      </c>
      <c r="BH47" s="54">
        <v>100</v>
      </c>
      <c r="BI47" s="54">
        <v>0.6</v>
      </c>
      <c r="BJ47" s="54">
        <v>11</v>
      </c>
      <c r="BK47" s="54">
        <v>69</v>
      </c>
      <c r="BL47" s="54">
        <v>34</v>
      </c>
      <c r="BM47" s="54">
        <v>47</v>
      </c>
      <c r="BN47" s="54">
        <v>2</v>
      </c>
      <c r="BO47" s="54">
        <v>77</v>
      </c>
      <c r="BP47" s="54">
        <v>0</v>
      </c>
      <c r="BQ47" s="54">
        <v>1</v>
      </c>
      <c r="BR47" s="54">
        <v>1.048</v>
      </c>
      <c r="BS47" s="54">
        <v>2560</v>
      </c>
      <c r="BT47" s="54">
        <v>35</v>
      </c>
      <c r="BU47" s="54">
        <v>0</v>
      </c>
      <c r="BV47" s="54">
        <v>0</v>
      </c>
      <c r="BW47" s="54">
        <v>150</v>
      </c>
      <c r="BX47" s="54">
        <v>0</v>
      </c>
      <c r="BY47" s="54">
        <v>2795</v>
      </c>
      <c r="BZ47" s="54">
        <v>3400</v>
      </c>
      <c r="CA47" s="54">
        <v>750</v>
      </c>
      <c r="CB47" s="54">
        <v>2</v>
      </c>
      <c r="CC47" s="54">
        <v>4</v>
      </c>
      <c r="CD47" s="54">
        <v>9</v>
      </c>
      <c r="CE47" s="54">
        <v>10</v>
      </c>
      <c r="CF47" s="54">
        <v>7</v>
      </c>
      <c r="CG47" s="54"/>
      <c r="CH47" s="54"/>
      <c r="CI47" s="54"/>
      <c r="CJ47" s="54">
        <v>5</v>
      </c>
      <c r="CK47" s="54">
        <v>10.3</v>
      </c>
      <c r="CL47" s="54">
        <v>155</v>
      </c>
      <c r="CM47" s="54">
        <v>10.3</v>
      </c>
      <c r="CN47" s="54">
        <v>173</v>
      </c>
      <c r="CO47" s="54">
        <v>0</v>
      </c>
      <c r="CP47" s="54">
        <v>1</v>
      </c>
      <c r="CQ47" s="54">
        <v>1</v>
      </c>
      <c r="CR47" s="54">
        <v>25</v>
      </c>
      <c r="CS47" s="54">
        <v>0</v>
      </c>
      <c r="CT47" s="54">
        <v>0</v>
      </c>
      <c r="CU47" s="54">
        <v>700</v>
      </c>
      <c r="CV47" s="54">
        <f t="shared" si="23"/>
        <v>6195</v>
      </c>
      <c r="CW47" s="259">
        <v>0.59722222222222221</v>
      </c>
      <c r="CX47" s="259">
        <v>0.66805555555555562</v>
      </c>
      <c r="CY47" s="185">
        <f t="shared" ref="CY46:CY64" si="31">CX47-CW47</f>
        <v>7.0833333333333415E-2</v>
      </c>
      <c r="CZ47" s="186">
        <f t="shared" si="9"/>
        <v>102.00000000000011</v>
      </c>
      <c r="DA47" s="54">
        <v>119</v>
      </c>
      <c r="DB47" s="54">
        <v>64</v>
      </c>
      <c r="DC47" s="183">
        <f t="shared" si="29"/>
        <v>82.333333333333329</v>
      </c>
      <c r="DD47" s="54">
        <v>87</v>
      </c>
      <c r="DE47" s="54">
        <v>2</v>
      </c>
      <c r="DF47" s="54">
        <v>1</v>
      </c>
      <c r="DG47" s="54">
        <v>1</v>
      </c>
      <c r="DH47" s="54">
        <v>1</v>
      </c>
      <c r="DI47" s="54"/>
      <c r="DJ47" s="54"/>
      <c r="DK47" s="54"/>
      <c r="DL47" s="54"/>
      <c r="DM47" s="54"/>
      <c r="DN47" s="54">
        <v>3</v>
      </c>
      <c r="DO47" s="54">
        <v>5</v>
      </c>
      <c r="DP47" s="54">
        <v>6</v>
      </c>
      <c r="DQ47" s="54">
        <v>6</v>
      </c>
      <c r="DR47" s="54">
        <v>5</v>
      </c>
      <c r="DS47" s="54">
        <v>5</v>
      </c>
      <c r="DT47" s="54">
        <v>6</v>
      </c>
      <c r="DU47" s="54">
        <v>6</v>
      </c>
      <c r="DV47" s="54">
        <v>6</v>
      </c>
      <c r="DW47" s="54">
        <v>4</v>
      </c>
      <c r="DX47" s="54">
        <v>3</v>
      </c>
      <c r="DY47" s="54">
        <v>10.8</v>
      </c>
      <c r="DZ47" s="54">
        <v>10.5</v>
      </c>
      <c r="EA47" s="54">
        <v>9.9</v>
      </c>
      <c r="EB47" s="54">
        <v>10.1</v>
      </c>
      <c r="EC47" s="188">
        <v>10.199999999999999</v>
      </c>
      <c r="ED47" s="54">
        <v>32.299999999999997</v>
      </c>
      <c r="EE47" s="54">
        <v>33</v>
      </c>
      <c r="EF47" s="54">
        <v>30.4</v>
      </c>
      <c r="EG47" s="54">
        <v>30.4</v>
      </c>
      <c r="EH47" s="189">
        <v>30.5</v>
      </c>
      <c r="EI47" s="54">
        <v>0.78</v>
      </c>
      <c r="EJ47" s="54">
        <v>0.76</v>
      </c>
      <c r="EK47" s="54">
        <v>0.75</v>
      </c>
      <c r="EL47" s="54">
        <v>0.73</v>
      </c>
      <c r="EM47" s="54">
        <v>0.73</v>
      </c>
      <c r="EN47" s="212"/>
      <c r="EO47" s="54">
        <v>144</v>
      </c>
      <c r="EP47" s="54">
        <v>139</v>
      </c>
      <c r="EQ47" s="54">
        <v>137</v>
      </c>
      <c r="ER47" s="54">
        <v>135</v>
      </c>
      <c r="ES47" s="54">
        <v>149</v>
      </c>
      <c r="ET47" s="54"/>
      <c r="EU47" s="54"/>
      <c r="EV47" s="54"/>
      <c r="EW47" s="54"/>
      <c r="EX47" s="54"/>
      <c r="EY47" s="54"/>
      <c r="EZ47" s="54">
        <v>0</v>
      </c>
      <c r="FA47" s="190">
        <v>41880</v>
      </c>
      <c r="FB47" s="54">
        <f t="shared" si="30"/>
        <v>7</v>
      </c>
      <c r="FC47" s="54"/>
      <c r="FH47" s="65"/>
      <c r="FI47" s="182"/>
    </row>
    <row r="48" spans="1:165" s="25" customFormat="1" x14ac:dyDescent="0.25">
      <c r="A48" s="92" t="s">
        <v>138</v>
      </c>
      <c r="B48" s="56" t="s">
        <v>164</v>
      </c>
      <c r="C48" s="54" t="s">
        <v>157</v>
      </c>
      <c r="D48" s="54" t="str">
        <f t="shared" si="22"/>
        <v xml:space="preserve">71 Y 6 M </v>
      </c>
      <c r="E48" s="54">
        <v>1</v>
      </c>
      <c r="F48" s="182">
        <v>15760</v>
      </c>
      <c r="G48" s="182">
        <v>41880</v>
      </c>
      <c r="H48" s="183">
        <v>180.3</v>
      </c>
      <c r="I48" s="183">
        <v>87.3</v>
      </c>
      <c r="J48" s="183">
        <f t="shared" si="24"/>
        <v>75.263867690000026</v>
      </c>
      <c r="K48" s="193">
        <f t="shared" si="25"/>
        <v>26.854853668732915</v>
      </c>
      <c r="L48" s="54">
        <v>0</v>
      </c>
      <c r="M48" s="54">
        <v>1</v>
      </c>
      <c r="N48" s="54">
        <v>0</v>
      </c>
      <c r="O48" s="54">
        <v>0</v>
      </c>
      <c r="P48" s="54">
        <v>0</v>
      </c>
      <c r="Q48" s="54">
        <v>0</v>
      </c>
      <c r="R48" s="54">
        <v>0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183">
        <v>0</v>
      </c>
      <c r="Z48" s="54">
        <v>0</v>
      </c>
      <c r="AA48" s="54">
        <v>0</v>
      </c>
      <c r="AB48" s="54">
        <v>0</v>
      </c>
      <c r="AC48" s="54">
        <v>0</v>
      </c>
      <c r="AD48" s="54">
        <v>0</v>
      </c>
      <c r="AE48" s="54">
        <v>0</v>
      </c>
      <c r="AF48" s="54">
        <v>1</v>
      </c>
      <c r="AG48" s="54">
        <v>1</v>
      </c>
      <c r="AH48" s="54">
        <v>12.5</v>
      </c>
      <c r="AI48" s="54"/>
      <c r="AJ48" s="54"/>
      <c r="AK48" s="183">
        <v>15.5</v>
      </c>
      <c r="AL48" s="54">
        <v>44.9</v>
      </c>
      <c r="AM48" s="54">
        <v>1.02</v>
      </c>
      <c r="AN48" s="54" t="s">
        <v>128</v>
      </c>
      <c r="AO48" s="54"/>
      <c r="AP48" s="183">
        <v>142.5</v>
      </c>
      <c r="AQ48" s="183">
        <v>84.5</v>
      </c>
      <c r="AR48" s="183">
        <f t="shared" si="26"/>
        <v>103.83333333333333</v>
      </c>
      <c r="AS48" s="183">
        <f t="shared" si="27"/>
        <v>171</v>
      </c>
      <c r="AT48" s="183">
        <f t="shared" si="28"/>
        <v>114</v>
      </c>
      <c r="AU48" s="184">
        <v>0.31875000000000003</v>
      </c>
      <c r="AV48" s="184">
        <v>0.32361111111111113</v>
      </c>
      <c r="AW48" s="185">
        <v>0.56180555555555556</v>
      </c>
      <c r="AX48" s="185">
        <v>0.22916666666666666</v>
      </c>
      <c r="AY48" s="54">
        <v>8</v>
      </c>
      <c r="AZ48" s="54">
        <v>1</v>
      </c>
      <c r="BA48" s="54">
        <v>1000</v>
      </c>
      <c r="BB48" s="54">
        <v>145</v>
      </c>
      <c r="BC48" s="54">
        <v>66</v>
      </c>
      <c r="BD48" s="54">
        <v>93</v>
      </c>
      <c r="BE48" s="54">
        <v>59</v>
      </c>
      <c r="BF48" s="54">
        <v>1</v>
      </c>
      <c r="BG48" s="54">
        <v>100</v>
      </c>
      <c r="BH48" s="54">
        <v>100</v>
      </c>
      <c r="BI48" s="54">
        <v>0.5</v>
      </c>
      <c r="BJ48" s="54">
        <v>11</v>
      </c>
      <c r="BK48" s="54">
        <v>78</v>
      </c>
      <c r="BL48" s="54">
        <v>46</v>
      </c>
      <c r="BM48" s="54">
        <v>58</v>
      </c>
      <c r="BN48" s="54">
        <v>0</v>
      </c>
      <c r="BO48" s="54">
        <v>10</v>
      </c>
      <c r="BP48" s="54">
        <v>0.4</v>
      </c>
      <c r="BQ48" s="54">
        <v>0</v>
      </c>
      <c r="BR48" s="54">
        <v>0</v>
      </c>
      <c r="BS48" s="54">
        <v>480</v>
      </c>
      <c r="BT48" s="54">
        <v>20</v>
      </c>
      <c r="BU48" s="54">
        <v>0</v>
      </c>
      <c r="BV48" s="54">
        <v>0</v>
      </c>
      <c r="BW48" s="54">
        <v>150</v>
      </c>
      <c r="BX48" s="54">
        <v>0</v>
      </c>
      <c r="BY48" s="54">
        <v>3235</v>
      </c>
      <c r="BZ48" s="54">
        <v>2500</v>
      </c>
      <c r="CA48" s="54">
        <v>500</v>
      </c>
      <c r="CB48" s="54">
        <v>6</v>
      </c>
      <c r="CC48" s="54">
        <v>3</v>
      </c>
      <c r="CD48" s="54">
        <v>6</v>
      </c>
      <c r="CE48" s="54">
        <v>11</v>
      </c>
      <c r="CF48" s="54">
        <v>4</v>
      </c>
      <c r="CG48" s="54"/>
      <c r="CH48" s="54"/>
      <c r="CI48" s="54"/>
      <c r="CJ48" s="54">
        <v>5</v>
      </c>
      <c r="CK48" s="54">
        <v>12.9</v>
      </c>
      <c r="CL48" s="54">
        <v>77</v>
      </c>
      <c r="CM48" s="54">
        <v>11.6</v>
      </c>
      <c r="CN48" s="54">
        <v>109</v>
      </c>
      <c r="CO48" s="54">
        <v>0</v>
      </c>
      <c r="CP48" s="54">
        <v>1</v>
      </c>
      <c r="CQ48" s="54">
        <v>0</v>
      </c>
      <c r="CR48" s="54">
        <v>0</v>
      </c>
      <c r="CS48" s="54">
        <v>0</v>
      </c>
      <c r="CT48" s="54">
        <v>0</v>
      </c>
      <c r="CU48" s="54">
        <v>300</v>
      </c>
      <c r="CV48" s="54">
        <f t="shared" si="23"/>
        <v>5735</v>
      </c>
      <c r="CW48" s="259">
        <v>0.5541666666666667</v>
      </c>
      <c r="CX48" s="259">
        <v>0.65972222222222221</v>
      </c>
      <c r="CY48" s="185">
        <f t="shared" si="31"/>
        <v>0.10555555555555551</v>
      </c>
      <c r="CZ48" s="186">
        <f t="shared" si="9"/>
        <v>151.99999999999994</v>
      </c>
      <c r="DA48" s="54">
        <v>136</v>
      </c>
      <c r="DB48" s="54">
        <v>65</v>
      </c>
      <c r="DC48" s="183">
        <f t="shared" si="29"/>
        <v>88.666666666666671</v>
      </c>
      <c r="DD48" s="54">
        <v>68</v>
      </c>
      <c r="DE48" s="54">
        <v>2</v>
      </c>
      <c r="DF48" s="54">
        <v>1</v>
      </c>
      <c r="DG48" s="54">
        <v>1</v>
      </c>
      <c r="DH48" s="54">
        <v>0</v>
      </c>
      <c r="DI48" s="54"/>
      <c r="DJ48" s="54"/>
      <c r="DK48" s="54"/>
      <c r="DL48" s="54"/>
      <c r="DM48" s="54"/>
      <c r="DN48" s="54">
        <v>3</v>
      </c>
      <c r="DO48" s="54">
        <v>4</v>
      </c>
      <c r="DP48" s="54">
        <v>5</v>
      </c>
      <c r="DQ48" s="54">
        <v>5</v>
      </c>
      <c r="DR48" s="54">
        <v>0</v>
      </c>
      <c r="DS48" s="54">
        <v>0</v>
      </c>
      <c r="DT48" s="54">
        <v>0</v>
      </c>
      <c r="DU48" s="54">
        <v>0</v>
      </c>
      <c r="DV48" s="54">
        <v>0</v>
      </c>
      <c r="DW48" s="54">
        <v>0</v>
      </c>
      <c r="DX48" s="54">
        <v>3</v>
      </c>
      <c r="DY48" s="54">
        <v>12.6</v>
      </c>
      <c r="DZ48" s="54">
        <v>11</v>
      </c>
      <c r="EA48" s="54">
        <v>11.2</v>
      </c>
      <c r="EB48" s="54">
        <v>11.3</v>
      </c>
      <c r="EC48" s="188">
        <v>11</v>
      </c>
      <c r="ED48" s="54">
        <v>38.200000000000003</v>
      </c>
      <c r="EE48" s="54">
        <v>33.1</v>
      </c>
      <c r="EF48" s="54">
        <v>34.200000000000003</v>
      </c>
      <c r="EG48" s="54">
        <v>33.6</v>
      </c>
      <c r="EH48" s="189">
        <v>33.5</v>
      </c>
      <c r="EI48" s="54">
        <v>1.01</v>
      </c>
      <c r="EJ48" s="54">
        <v>0.91</v>
      </c>
      <c r="EK48" s="54">
        <v>0.84</v>
      </c>
      <c r="EL48" s="54">
        <v>0.81</v>
      </c>
      <c r="EM48" s="54">
        <v>0.85</v>
      </c>
      <c r="EN48" s="54">
        <v>85</v>
      </c>
      <c r="EO48" s="54">
        <v>97</v>
      </c>
      <c r="EP48" s="54">
        <v>104</v>
      </c>
      <c r="EQ48" s="54">
        <v>87</v>
      </c>
      <c r="ER48" s="54">
        <v>96</v>
      </c>
      <c r="ES48" s="54">
        <v>90</v>
      </c>
      <c r="ET48" s="54"/>
      <c r="EU48" s="54"/>
      <c r="EV48" s="54"/>
      <c r="EW48" s="54"/>
      <c r="EX48" s="54"/>
      <c r="EY48" s="54"/>
      <c r="EZ48" s="54">
        <v>0</v>
      </c>
      <c r="FA48" s="190">
        <v>41888</v>
      </c>
      <c r="FB48" s="54">
        <f t="shared" si="30"/>
        <v>8</v>
      </c>
      <c r="FC48" s="54"/>
      <c r="FH48" s="65"/>
    </row>
    <row r="49" spans="1:165" s="25" customFormat="1" x14ac:dyDescent="0.25">
      <c r="A49" s="92" t="s">
        <v>140</v>
      </c>
      <c r="B49" s="56" t="s">
        <v>165</v>
      </c>
      <c r="C49" s="54" t="s">
        <v>157</v>
      </c>
      <c r="D49" s="54" t="str">
        <f t="shared" si="22"/>
        <v xml:space="preserve">64 Y 11 M </v>
      </c>
      <c r="E49" s="54">
        <v>2</v>
      </c>
      <c r="F49" s="182">
        <v>18147</v>
      </c>
      <c r="G49" s="182">
        <v>41886</v>
      </c>
      <c r="H49" s="183">
        <v>170.7</v>
      </c>
      <c r="I49" s="183">
        <v>102.1</v>
      </c>
      <c r="J49" s="183">
        <f t="shared" si="24"/>
        <v>62.070949609999985</v>
      </c>
      <c r="K49" s="183">
        <f t="shared" si="25"/>
        <v>35.039564507289164</v>
      </c>
      <c r="L49" s="54">
        <v>2</v>
      </c>
      <c r="M49" s="54">
        <v>1</v>
      </c>
      <c r="N49" s="54">
        <v>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0</v>
      </c>
      <c r="Y49" s="183">
        <v>0</v>
      </c>
      <c r="Z49" s="54">
        <v>0</v>
      </c>
      <c r="AA49" s="54">
        <v>0</v>
      </c>
      <c r="AB49" s="54">
        <v>0</v>
      </c>
      <c r="AC49" s="54">
        <v>0</v>
      </c>
      <c r="AD49" s="54">
        <v>0</v>
      </c>
      <c r="AE49" s="54">
        <v>0</v>
      </c>
      <c r="AF49" s="54">
        <v>0</v>
      </c>
      <c r="AG49" s="54">
        <v>0</v>
      </c>
      <c r="AH49" s="54">
        <v>0</v>
      </c>
      <c r="AI49" s="54"/>
      <c r="AJ49" s="54"/>
      <c r="AK49" s="183">
        <v>12.6</v>
      </c>
      <c r="AL49" s="54">
        <v>37</v>
      </c>
      <c r="AM49" s="54">
        <v>0.98</v>
      </c>
      <c r="AN49" s="54">
        <v>57</v>
      </c>
      <c r="AO49" s="54"/>
      <c r="AP49" s="183">
        <v>149</v>
      </c>
      <c r="AQ49" s="183">
        <v>88</v>
      </c>
      <c r="AR49" s="183">
        <f t="shared" si="26"/>
        <v>108.33333333333333</v>
      </c>
      <c r="AS49" s="183">
        <f t="shared" si="27"/>
        <v>178.8</v>
      </c>
      <c r="AT49" s="183">
        <f t="shared" si="28"/>
        <v>119.2</v>
      </c>
      <c r="AU49" s="184">
        <v>0.31180555555555556</v>
      </c>
      <c r="AV49" s="184">
        <v>0.32569444444444445</v>
      </c>
      <c r="AW49" s="185">
        <v>0.62569444444444444</v>
      </c>
      <c r="AX49" s="185">
        <v>0.22916666666666666</v>
      </c>
      <c r="AY49" s="54">
        <v>8.1</v>
      </c>
      <c r="AZ49" s="54">
        <v>1</v>
      </c>
      <c r="BA49" s="54">
        <v>1000</v>
      </c>
      <c r="BB49" s="54">
        <v>170</v>
      </c>
      <c r="BC49" s="54">
        <v>76</v>
      </c>
      <c r="BD49" s="54">
        <v>108</v>
      </c>
      <c r="BE49" s="54">
        <v>58</v>
      </c>
      <c r="BF49" s="54">
        <v>1</v>
      </c>
      <c r="BG49" s="54">
        <v>100</v>
      </c>
      <c r="BH49" s="54">
        <v>150</v>
      </c>
      <c r="BI49" s="54">
        <v>0.5</v>
      </c>
      <c r="BJ49" s="54">
        <v>8</v>
      </c>
      <c r="BK49" s="54">
        <v>79</v>
      </c>
      <c r="BL49" s="54">
        <v>34</v>
      </c>
      <c r="BM49" s="54">
        <v>45</v>
      </c>
      <c r="BN49" s="54">
        <v>0</v>
      </c>
      <c r="BO49" s="54">
        <v>20</v>
      </c>
      <c r="BP49" s="54">
        <v>0.6</v>
      </c>
      <c r="BQ49" s="54">
        <v>0</v>
      </c>
      <c r="BR49" s="54">
        <v>0</v>
      </c>
      <c r="BS49" s="54">
        <v>600</v>
      </c>
      <c r="BT49" s="54">
        <v>15</v>
      </c>
      <c r="BU49" s="54">
        <v>0</v>
      </c>
      <c r="BV49" s="54">
        <v>0</v>
      </c>
      <c r="BW49" s="54">
        <v>200</v>
      </c>
      <c r="BX49" s="54">
        <v>0</v>
      </c>
      <c r="BY49" s="54">
        <v>2202</v>
      </c>
      <c r="BZ49" s="54">
        <v>2100</v>
      </c>
      <c r="CA49" s="54">
        <v>1500</v>
      </c>
      <c r="CB49" s="54">
        <v>6</v>
      </c>
      <c r="CC49" s="54">
        <v>6</v>
      </c>
      <c r="CD49" s="54">
        <v>33</v>
      </c>
      <c r="CE49" s="54">
        <v>14</v>
      </c>
      <c r="CF49" s="54">
        <v>10</v>
      </c>
      <c r="CG49" s="54"/>
      <c r="CH49" s="54"/>
      <c r="CI49" s="54"/>
      <c r="CJ49" s="54">
        <v>8</v>
      </c>
      <c r="CK49" s="54">
        <v>11.4</v>
      </c>
      <c r="CL49" s="54">
        <v>128</v>
      </c>
      <c r="CM49" s="54">
        <v>9.4</v>
      </c>
      <c r="CN49" s="54">
        <v>144</v>
      </c>
      <c r="CO49" s="54">
        <v>0</v>
      </c>
      <c r="CP49" s="54">
        <v>1</v>
      </c>
      <c r="CQ49" s="54">
        <v>0</v>
      </c>
      <c r="CR49" s="54">
        <v>0</v>
      </c>
      <c r="CS49" s="54">
        <v>0</v>
      </c>
      <c r="CT49" s="54">
        <v>0</v>
      </c>
      <c r="CU49" s="54">
        <v>500</v>
      </c>
      <c r="CV49" s="54">
        <f t="shared" si="23"/>
        <v>4302</v>
      </c>
      <c r="CW49" s="259">
        <v>0.62222222222222223</v>
      </c>
      <c r="CX49" s="259">
        <v>0.66666666666666663</v>
      </c>
      <c r="CY49" s="185">
        <f t="shared" si="31"/>
        <v>4.4444444444444398E-2</v>
      </c>
      <c r="CZ49" s="186">
        <f t="shared" si="9"/>
        <v>63.999999999999929</v>
      </c>
      <c r="DA49" s="54">
        <v>166</v>
      </c>
      <c r="DB49" s="54">
        <v>85</v>
      </c>
      <c r="DC49" s="183">
        <f t="shared" si="29"/>
        <v>112</v>
      </c>
      <c r="DD49" s="54">
        <v>85</v>
      </c>
      <c r="DE49" s="54">
        <v>2</v>
      </c>
      <c r="DF49" s="54">
        <v>1</v>
      </c>
      <c r="DG49" s="54">
        <v>1</v>
      </c>
      <c r="DH49" s="54">
        <v>1</v>
      </c>
      <c r="DI49" s="54"/>
      <c r="DJ49" s="54"/>
      <c r="DK49" s="54"/>
      <c r="DL49" s="54"/>
      <c r="DM49" s="54"/>
      <c r="DN49" s="54">
        <v>3</v>
      </c>
      <c r="DO49" s="54">
        <v>3</v>
      </c>
      <c r="DP49" s="54">
        <v>4</v>
      </c>
      <c r="DQ49" s="54">
        <v>4</v>
      </c>
      <c r="DR49" s="54">
        <v>0</v>
      </c>
      <c r="DS49" s="54">
        <v>0</v>
      </c>
      <c r="DT49" s="54">
        <v>0</v>
      </c>
      <c r="DU49" s="54">
        <v>0</v>
      </c>
      <c r="DV49" s="54">
        <v>0</v>
      </c>
      <c r="DW49" s="54">
        <v>2</v>
      </c>
      <c r="DX49" s="54">
        <v>0</v>
      </c>
      <c r="DY49" s="54">
        <v>10</v>
      </c>
      <c r="DZ49" s="54"/>
      <c r="EA49" s="54">
        <v>9.1999999999999993</v>
      </c>
      <c r="EB49" s="54">
        <v>8.8000000000000007</v>
      </c>
      <c r="EC49" s="188">
        <v>9</v>
      </c>
      <c r="ED49" s="54">
        <v>30.3</v>
      </c>
      <c r="EE49" s="54"/>
      <c r="EF49" s="54">
        <v>27.1</v>
      </c>
      <c r="EG49" s="54">
        <v>26.7</v>
      </c>
      <c r="EH49" s="189">
        <v>27.3</v>
      </c>
      <c r="EI49" s="54">
        <v>0.68</v>
      </c>
      <c r="EJ49" s="54"/>
      <c r="EK49" s="54">
        <v>0.6</v>
      </c>
      <c r="EL49" s="54">
        <v>0.61</v>
      </c>
      <c r="EM49" s="54">
        <v>0.65</v>
      </c>
      <c r="EN49" s="54">
        <v>157</v>
      </c>
      <c r="EO49" s="54">
        <v>128</v>
      </c>
      <c r="EP49" s="54">
        <v>137</v>
      </c>
      <c r="EQ49" s="54">
        <v>135</v>
      </c>
      <c r="ER49" s="54">
        <v>150</v>
      </c>
      <c r="ES49" s="54">
        <v>124</v>
      </c>
      <c r="ET49" s="54"/>
      <c r="EU49" s="54"/>
      <c r="EV49" s="54"/>
      <c r="EW49" s="54"/>
      <c r="EX49" s="54"/>
      <c r="EY49" s="54"/>
      <c r="EZ49" s="54">
        <v>0</v>
      </c>
      <c r="FA49" s="190">
        <v>41893</v>
      </c>
      <c r="FB49" s="54">
        <f t="shared" si="30"/>
        <v>7</v>
      </c>
      <c r="FC49" s="54"/>
      <c r="FH49" s="65"/>
      <c r="FI49" s="191"/>
    </row>
    <row r="50" spans="1:165" s="25" customFormat="1" x14ac:dyDescent="0.25">
      <c r="A50" s="92" t="s">
        <v>141</v>
      </c>
      <c r="B50" s="56" t="s">
        <v>166</v>
      </c>
      <c r="C50" s="54" t="s">
        <v>157</v>
      </c>
      <c r="D50" s="54" t="str">
        <f t="shared" si="22"/>
        <v xml:space="preserve">63 Y 9 M </v>
      </c>
      <c r="E50" s="54">
        <v>2</v>
      </c>
      <c r="F50" s="182">
        <v>18599</v>
      </c>
      <c r="G50" s="182">
        <v>41887</v>
      </c>
      <c r="H50" s="183">
        <v>170.2</v>
      </c>
      <c r="I50" s="183">
        <v>64.864000000000004</v>
      </c>
      <c r="J50" s="183">
        <f t="shared" si="24"/>
        <v>61.618193459999993</v>
      </c>
      <c r="K50" s="183">
        <f t="shared" si="25"/>
        <v>22.391573610088912</v>
      </c>
      <c r="L50" s="54">
        <v>0</v>
      </c>
      <c r="M50" s="54">
        <v>1</v>
      </c>
      <c r="N50" s="54">
        <v>0</v>
      </c>
      <c r="O50" s="54">
        <v>0</v>
      </c>
      <c r="P50" s="54">
        <v>0</v>
      </c>
      <c r="Q50" s="54">
        <v>1</v>
      </c>
      <c r="R50" s="54">
        <v>1</v>
      </c>
      <c r="S50" s="54">
        <v>10</v>
      </c>
      <c r="T50" s="54">
        <v>0</v>
      </c>
      <c r="U50" s="54">
        <v>0</v>
      </c>
      <c r="V50" s="54">
        <v>0</v>
      </c>
      <c r="W50" s="54">
        <v>0</v>
      </c>
      <c r="X50" s="54">
        <v>0</v>
      </c>
      <c r="Y50" s="183">
        <v>0</v>
      </c>
      <c r="Z50" s="54">
        <v>0</v>
      </c>
      <c r="AA50" s="54">
        <v>0</v>
      </c>
      <c r="AB50" s="54">
        <v>0</v>
      </c>
      <c r="AC50" s="54">
        <v>0</v>
      </c>
      <c r="AD50" s="54">
        <v>0</v>
      </c>
      <c r="AE50" s="54">
        <v>0</v>
      </c>
      <c r="AF50" s="54">
        <v>1</v>
      </c>
      <c r="AG50" s="54">
        <v>1</v>
      </c>
      <c r="AH50" s="54">
        <v>12.5</v>
      </c>
      <c r="AI50" s="54">
        <v>65</v>
      </c>
      <c r="AJ50" s="54">
        <v>0</v>
      </c>
      <c r="AK50" s="183">
        <v>11.1</v>
      </c>
      <c r="AL50" s="54">
        <v>33.4</v>
      </c>
      <c r="AM50" s="54">
        <v>0.67</v>
      </c>
      <c r="AN50" s="54" t="s">
        <v>128</v>
      </c>
      <c r="AO50" s="54"/>
      <c r="AP50" s="183">
        <v>124</v>
      </c>
      <c r="AQ50" s="183">
        <v>57</v>
      </c>
      <c r="AR50" s="183">
        <f t="shared" si="26"/>
        <v>79.333333333333329</v>
      </c>
      <c r="AS50" s="183">
        <f t="shared" si="27"/>
        <v>148.80000000000001</v>
      </c>
      <c r="AT50" s="183">
        <f t="shared" si="28"/>
        <v>99.2</v>
      </c>
      <c r="AU50" s="184">
        <v>0.47222222222222227</v>
      </c>
      <c r="AV50" s="184">
        <v>0.4777777777777778</v>
      </c>
      <c r="AW50" s="185">
        <v>0.75</v>
      </c>
      <c r="AX50" s="185">
        <v>0.36458333333333331</v>
      </c>
      <c r="AY50" s="54">
        <v>8.1</v>
      </c>
      <c r="AZ50" s="54">
        <v>1</v>
      </c>
      <c r="BA50" s="54">
        <v>1000</v>
      </c>
      <c r="BB50" s="54">
        <v>118</v>
      </c>
      <c r="BC50" s="54">
        <v>54</v>
      </c>
      <c r="BD50" s="54">
        <v>78</v>
      </c>
      <c r="BE50" s="54">
        <v>65</v>
      </c>
      <c r="BF50" s="54">
        <v>1</v>
      </c>
      <c r="BG50" s="54">
        <v>100</v>
      </c>
      <c r="BH50" s="54">
        <v>50</v>
      </c>
      <c r="BI50" s="54">
        <v>0.4</v>
      </c>
      <c r="BJ50" s="54">
        <v>9</v>
      </c>
      <c r="BK50" s="54">
        <v>74</v>
      </c>
      <c r="BL50" s="54">
        <v>38</v>
      </c>
      <c r="BM50" s="54">
        <v>54</v>
      </c>
      <c r="BN50" s="54">
        <v>0</v>
      </c>
      <c r="BO50" s="54">
        <v>49</v>
      </c>
      <c r="BP50" s="54">
        <v>0</v>
      </c>
      <c r="BQ50" s="54">
        <v>1</v>
      </c>
      <c r="BR50" s="54">
        <v>0.92800000000000005</v>
      </c>
      <c r="BS50" s="54">
        <v>2000</v>
      </c>
      <c r="BT50" s="54">
        <v>5</v>
      </c>
      <c r="BU50" s="54">
        <v>0</v>
      </c>
      <c r="BV50" s="54">
        <v>0</v>
      </c>
      <c r="BW50" s="54">
        <v>100</v>
      </c>
      <c r="BX50" s="54">
        <v>0</v>
      </c>
      <c r="BY50" s="54">
        <v>1522</v>
      </c>
      <c r="BZ50" s="54">
        <v>2400</v>
      </c>
      <c r="CA50" s="54">
        <v>1250</v>
      </c>
      <c r="CB50" s="54">
        <v>13</v>
      </c>
      <c r="CC50" s="54">
        <v>12</v>
      </c>
      <c r="CD50" s="54">
        <v>10</v>
      </c>
      <c r="CE50" s="54">
        <v>9</v>
      </c>
      <c r="CF50" s="54">
        <v>16</v>
      </c>
      <c r="CG50" s="54"/>
      <c r="CH50" s="54"/>
      <c r="CI50" s="54"/>
      <c r="CJ50" s="54">
        <v>9</v>
      </c>
      <c r="CK50" s="54">
        <v>9.5</v>
      </c>
      <c r="CL50" s="54">
        <v>85</v>
      </c>
      <c r="CM50" s="54">
        <v>7.5</v>
      </c>
      <c r="CN50" s="54">
        <v>129</v>
      </c>
      <c r="CO50" s="54">
        <v>2</v>
      </c>
      <c r="CP50" s="54">
        <v>1</v>
      </c>
      <c r="CQ50" s="54">
        <v>0</v>
      </c>
      <c r="CR50" s="54">
        <v>0</v>
      </c>
      <c r="CS50" s="54">
        <v>0</v>
      </c>
      <c r="CT50" s="54">
        <v>0</v>
      </c>
      <c r="CU50" s="54">
        <v>500</v>
      </c>
      <c r="CV50" s="54">
        <f t="shared" si="23"/>
        <v>3922</v>
      </c>
      <c r="CW50" s="259">
        <v>0.7416666666666667</v>
      </c>
      <c r="CX50" s="259">
        <v>0.8256944444444444</v>
      </c>
      <c r="CY50" s="185">
        <f t="shared" si="31"/>
        <v>8.4027777777777701E-2</v>
      </c>
      <c r="CZ50" s="186">
        <f t="shared" si="9"/>
        <v>120.99999999999989</v>
      </c>
      <c r="DA50" s="54">
        <v>125</v>
      </c>
      <c r="DB50" s="54">
        <v>59</v>
      </c>
      <c r="DC50" s="183">
        <f t="shared" si="29"/>
        <v>81</v>
      </c>
      <c r="DD50" s="54">
        <v>78</v>
      </c>
      <c r="DE50" s="54">
        <v>2</v>
      </c>
      <c r="DF50" s="54">
        <v>1</v>
      </c>
      <c r="DG50" s="54">
        <v>1</v>
      </c>
      <c r="DH50" s="54">
        <v>1</v>
      </c>
      <c r="DI50" s="54"/>
      <c r="DJ50" s="54"/>
      <c r="DK50" s="54"/>
      <c r="DL50" s="54"/>
      <c r="DM50" s="54"/>
      <c r="DN50" s="54">
        <v>4</v>
      </c>
      <c r="DO50" s="54">
        <v>4</v>
      </c>
      <c r="DP50" s="54">
        <v>6</v>
      </c>
      <c r="DQ50" s="54">
        <v>5</v>
      </c>
      <c r="DR50" s="54">
        <v>0</v>
      </c>
      <c r="DS50" s="54">
        <v>0</v>
      </c>
      <c r="DT50" s="54">
        <v>8</v>
      </c>
      <c r="DU50" s="54">
        <v>6</v>
      </c>
      <c r="DV50" s="54">
        <v>3</v>
      </c>
      <c r="DW50" s="54">
        <v>3</v>
      </c>
      <c r="DX50" s="54">
        <v>2</v>
      </c>
      <c r="DY50" s="54">
        <v>8.9</v>
      </c>
      <c r="DZ50" s="54">
        <v>9.6999999999999993</v>
      </c>
      <c r="EA50" s="54">
        <v>9</v>
      </c>
      <c r="EB50" s="54">
        <v>8.9</v>
      </c>
      <c r="EC50" s="188">
        <v>9.3000000000000007</v>
      </c>
      <c r="ED50" s="54">
        <v>28.1</v>
      </c>
      <c r="EE50" s="54">
        <v>30</v>
      </c>
      <c r="EF50" s="54">
        <v>26.9</v>
      </c>
      <c r="EG50" s="54">
        <v>27.2</v>
      </c>
      <c r="EH50" s="189">
        <v>29</v>
      </c>
      <c r="EI50" s="54">
        <v>0.64</v>
      </c>
      <c r="EJ50" s="54">
        <v>0.53</v>
      </c>
      <c r="EK50" s="54">
        <v>0.52</v>
      </c>
      <c r="EL50" s="54">
        <v>0.49</v>
      </c>
      <c r="EM50" s="54">
        <v>0.51</v>
      </c>
      <c r="EN50" s="54">
        <v>152</v>
      </c>
      <c r="EO50" s="54">
        <v>179</v>
      </c>
      <c r="EP50" s="54">
        <v>140</v>
      </c>
      <c r="EQ50" s="54">
        <v>133</v>
      </c>
      <c r="ER50" s="54">
        <v>140</v>
      </c>
      <c r="ES50" s="54">
        <v>127</v>
      </c>
      <c r="ET50" s="54"/>
      <c r="EU50" s="54"/>
      <c r="EV50" s="54"/>
      <c r="EW50" s="54"/>
      <c r="EX50" s="54"/>
      <c r="EY50" s="54"/>
      <c r="EZ50" s="54">
        <v>0</v>
      </c>
      <c r="FA50" s="190">
        <v>41894</v>
      </c>
      <c r="FB50" s="54">
        <f t="shared" si="30"/>
        <v>7</v>
      </c>
      <c r="FC50" s="54"/>
      <c r="FH50" s="65"/>
      <c r="FI50" s="191"/>
    </row>
    <row r="51" spans="1:165" s="25" customFormat="1" x14ac:dyDescent="0.25">
      <c r="A51" s="199" t="s">
        <v>144</v>
      </c>
      <c r="B51" s="56" t="s">
        <v>167</v>
      </c>
      <c r="C51" s="54" t="s">
        <v>157</v>
      </c>
      <c r="D51" s="54" t="str">
        <f t="shared" si="22"/>
        <v xml:space="preserve">74 Y </v>
      </c>
      <c r="E51" s="54">
        <v>1</v>
      </c>
      <c r="F51" s="182">
        <v>14844</v>
      </c>
      <c r="G51" s="182">
        <v>41893</v>
      </c>
      <c r="H51" s="183">
        <v>170.2</v>
      </c>
      <c r="I51" s="183">
        <v>82.8</v>
      </c>
      <c r="J51" s="183">
        <f t="shared" si="24"/>
        <v>66.118193459999986</v>
      </c>
      <c r="K51" s="183">
        <f t="shared" si="25"/>
        <v>28.583224822942803</v>
      </c>
      <c r="L51" s="54">
        <v>2</v>
      </c>
      <c r="M51" s="54">
        <v>1</v>
      </c>
      <c r="N51" s="54">
        <v>1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1</v>
      </c>
      <c r="U51" s="54">
        <v>3</v>
      </c>
      <c r="V51" s="54">
        <v>160</v>
      </c>
      <c r="W51" s="54">
        <v>1</v>
      </c>
      <c r="X51" s="54">
        <v>2</v>
      </c>
      <c r="Y51" s="183">
        <v>100</v>
      </c>
      <c r="Z51" s="54">
        <v>1</v>
      </c>
      <c r="AA51" s="54">
        <v>1</v>
      </c>
      <c r="AB51" s="54">
        <v>10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/>
      <c r="AJ51" s="54"/>
      <c r="AK51" s="183">
        <v>15</v>
      </c>
      <c r="AL51" s="54">
        <v>44.6</v>
      </c>
      <c r="AM51" s="54">
        <v>1.22</v>
      </c>
      <c r="AN51" s="54" t="s">
        <v>128</v>
      </c>
      <c r="AO51" s="54"/>
      <c r="AP51" s="183">
        <v>125</v>
      </c>
      <c r="AQ51" s="183">
        <v>78.5</v>
      </c>
      <c r="AR51" s="183">
        <f t="shared" si="26"/>
        <v>94</v>
      </c>
      <c r="AS51" s="183">
        <f t="shared" si="27"/>
        <v>150</v>
      </c>
      <c r="AT51" s="183">
        <f t="shared" si="28"/>
        <v>100</v>
      </c>
      <c r="AU51" s="184">
        <v>0.3125</v>
      </c>
      <c r="AV51" s="184">
        <v>0.31944444444444448</v>
      </c>
      <c r="AW51" s="185">
        <v>0.61111111111111105</v>
      </c>
      <c r="AX51" s="185">
        <v>0.22916666666666666</v>
      </c>
      <c r="AY51" s="54">
        <v>8.1</v>
      </c>
      <c r="AZ51" s="54">
        <v>1</v>
      </c>
      <c r="BA51" s="54">
        <v>1000</v>
      </c>
      <c r="BB51" s="54">
        <v>113</v>
      </c>
      <c r="BC51" s="54">
        <v>70</v>
      </c>
      <c r="BD51" s="54">
        <v>83</v>
      </c>
      <c r="BE51" s="54">
        <v>68</v>
      </c>
      <c r="BF51" s="54">
        <v>1</v>
      </c>
      <c r="BG51" s="54">
        <v>140</v>
      </c>
      <c r="BH51" s="54">
        <v>100</v>
      </c>
      <c r="BI51" s="54">
        <v>0</v>
      </c>
      <c r="BJ51" s="54">
        <v>3</v>
      </c>
      <c r="BK51" s="54">
        <v>89</v>
      </c>
      <c r="BL51" s="54">
        <v>44</v>
      </c>
      <c r="BM51" s="54">
        <v>57</v>
      </c>
      <c r="BN51" s="54"/>
      <c r="BO51" s="54">
        <v>59</v>
      </c>
      <c r="BP51" s="54">
        <v>0.2</v>
      </c>
      <c r="BQ51" s="54">
        <v>1</v>
      </c>
      <c r="BR51" s="54">
        <v>0.73599999999999999</v>
      </c>
      <c r="BS51" s="54">
        <v>320</v>
      </c>
      <c r="BT51" s="54">
        <v>15</v>
      </c>
      <c r="BU51" s="54">
        <v>0</v>
      </c>
      <c r="BV51" s="54">
        <v>0</v>
      </c>
      <c r="BW51" s="54">
        <v>150</v>
      </c>
      <c r="BX51" s="54">
        <v>0.4</v>
      </c>
      <c r="BY51" s="54">
        <v>2300</v>
      </c>
      <c r="BZ51" s="54">
        <v>1800</v>
      </c>
      <c r="CA51" s="54">
        <v>750</v>
      </c>
      <c r="CB51" s="54"/>
      <c r="CC51" s="54"/>
      <c r="CD51" s="54">
        <v>14</v>
      </c>
      <c r="CE51" s="54">
        <v>9</v>
      </c>
      <c r="CF51" s="54">
        <v>16</v>
      </c>
      <c r="CG51" s="54"/>
      <c r="CH51" s="54"/>
      <c r="CI51" s="54"/>
      <c r="CJ51" s="54">
        <v>3</v>
      </c>
      <c r="CK51" s="54">
        <v>11.4</v>
      </c>
      <c r="CL51" s="54">
        <v>184</v>
      </c>
      <c r="CM51" s="54">
        <v>10.1</v>
      </c>
      <c r="CN51" s="54">
        <v>184</v>
      </c>
      <c r="CO51" s="54">
        <v>0</v>
      </c>
      <c r="CP51" s="54">
        <v>1</v>
      </c>
      <c r="CQ51" s="54">
        <v>0</v>
      </c>
      <c r="CR51" s="54"/>
      <c r="CS51" s="54"/>
      <c r="CT51" s="54">
        <v>0</v>
      </c>
      <c r="CU51" s="54">
        <v>300</v>
      </c>
      <c r="CV51" s="54">
        <f t="shared" si="23"/>
        <v>4100</v>
      </c>
      <c r="CW51" s="259">
        <v>0.60833333333333328</v>
      </c>
      <c r="CX51" s="259">
        <v>0.66319444444444442</v>
      </c>
      <c r="CY51" s="185">
        <f t="shared" si="31"/>
        <v>5.4861111111111138E-2</v>
      </c>
      <c r="CZ51" s="186">
        <f t="shared" si="9"/>
        <v>79.000000000000043</v>
      </c>
      <c r="DA51" s="54">
        <v>115</v>
      </c>
      <c r="DB51" s="54">
        <v>57</v>
      </c>
      <c r="DC51" s="183">
        <f t="shared" si="29"/>
        <v>76.333333333333329</v>
      </c>
      <c r="DD51" s="54">
        <v>67</v>
      </c>
      <c r="DE51" s="54">
        <v>2</v>
      </c>
      <c r="DF51" s="54">
        <v>1</v>
      </c>
      <c r="DG51" s="54">
        <v>1</v>
      </c>
      <c r="DH51" s="54">
        <v>1</v>
      </c>
      <c r="DI51" s="54"/>
      <c r="DJ51" s="54"/>
      <c r="DK51" s="54"/>
      <c r="DL51" s="54"/>
      <c r="DM51" s="54"/>
      <c r="DN51" s="54">
        <v>5</v>
      </c>
      <c r="DO51" s="54">
        <v>5</v>
      </c>
      <c r="DP51" s="54">
        <v>6</v>
      </c>
      <c r="DQ51" s="54">
        <v>5</v>
      </c>
      <c r="DR51" s="54">
        <v>0</v>
      </c>
      <c r="DS51" s="54">
        <v>0</v>
      </c>
      <c r="DT51" s="54">
        <v>0</v>
      </c>
      <c r="DU51" s="54">
        <v>2</v>
      </c>
      <c r="DV51" s="54">
        <v>2</v>
      </c>
      <c r="DW51" s="54">
        <v>1</v>
      </c>
      <c r="DX51" s="54">
        <v>1</v>
      </c>
      <c r="DY51" s="54">
        <v>11.2</v>
      </c>
      <c r="DZ51" s="54">
        <v>10.7</v>
      </c>
      <c r="EA51" s="54">
        <v>10.7</v>
      </c>
      <c r="EB51" s="54">
        <v>10.9</v>
      </c>
      <c r="EC51" s="188">
        <v>10.199999999999999</v>
      </c>
      <c r="ED51" s="54">
        <v>33.299999999999997</v>
      </c>
      <c r="EE51" s="54">
        <v>32.1</v>
      </c>
      <c r="EF51" s="54">
        <v>30.8</v>
      </c>
      <c r="EG51" s="54">
        <v>32.200000000000003</v>
      </c>
      <c r="EH51" s="189">
        <v>30</v>
      </c>
      <c r="EI51" s="54">
        <v>0.99</v>
      </c>
      <c r="EJ51" s="54">
        <v>0.88</v>
      </c>
      <c r="EK51" s="54">
        <v>0.79</v>
      </c>
      <c r="EL51" s="54">
        <v>0.78</v>
      </c>
      <c r="EM51" s="54">
        <v>0.92</v>
      </c>
      <c r="EN51" s="54">
        <v>151</v>
      </c>
      <c r="EO51" s="54">
        <v>205</v>
      </c>
      <c r="EP51" s="54">
        <v>220</v>
      </c>
      <c r="EQ51" s="54">
        <v>225</v>
      </c>
      <c r="ER51" s="54">
        <v>199</v>
      </c>
      <c r="ES51" s="54">
        <v>202</v>
      </c>
      <c r="ET51" s="54"/>
      <c r="EU51" s="54"/>
      <c r="EV51" s="54"/>
      <c r="EW51" s="54"/>
      <c r="EX51" s="54"/>
      <c r="EY51" s="54"/>
      <c r="EZ51" s="54">
        <v>0</v>
      </c>
      <c r="FA51" s="190">
        <v>41901</v>
      </c>
      <c r="FB51" s="54">
        <f t="shared" si="30"/>
        <v>8</v>
      </c>
      <c r="FC51" s="54"/>
      <c r="FH51" s="65"/>
      <c r="FI51" s="191"/>
    </row>
    <row r="52" spans="1:165" s="25" customFormat="1" x14ac:dyDescent="0.25">
      <c r="A52" s="92" t="s">
        <v>337</v>
      </c>
      <c r="B52" s="56" t="s">
        <v>169</v>
      </c>
      <c r="C52" s="54" t="s">
        <v>157</v>
      </c>
      <c r="D52" s="54" t="str">
        <f t="shared" si="22"/>
        <v xml:space="preserve">53 Y 10 M </v>
      </c>
      <c r="E52" s="54">
        <v>1</v>
      </c>
      <c r="F52" s="182">
        <v>22238</v>
      </c>
      <c r="G52" s="182">
        <v>41914</v>
      </c>
      <c r="H52" s="183">
        <v>187.7</v>
      </c>
      <c r="I52" s="183">
        <v>94.8</v>
      </c>
      <c r="J52" s="183">
        <f t="shared" si="24"/>
        <v>81.964658710000009</v>
      </c>
      <c r="K52" s="183">
        <f t="shared" si="25"/>
        <v>26.907899199830613</v>
      </c>
      <c r="L52" s="54">
        <v>1</v>
      </c>
      <c r="M52" s="54">
        <v>1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1</v>
      </c>
      <c r="X52" s="54" t="s">
        <v>155</v>
      </c>
      <c r="Y52" s="183">
        <v>40</v>
      </c>
      <c r="Z52" s="54">
        <v>1</v>
      </c>
      <c r="AA52" s="54">
        <v>1</v>
      </c>
      <c r="AB52" s="54">
        <v>5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0</v>
      </c>
      <c r="AI52" s="54"/>
      <c r="AJ52" s="54"/>
      <c r="AK52" s="183">
        <v>15.5</v>
      </c>
      <c r="AL52" s="54">
        <v>47.7</v>
      </c>
      <c r="AM52" s="54">
        <v>1</v>
      </c>
      <c r="AN52" s="54" t="s">
        <v>128</v>
      </c>
      <c r="AO52" s="54"/>
      <c r="AP52" s="183">
        <v>122</v>
      </c>
      <c r="AQ52" s="183">
        <v>82.5</v>
      </c>
      <c r="AR52" s="183">
        <f t="shared" si="26"/>
        <v>95.666666666666671</v>
      </c>
      <c r="AS52" s="183">
        <f t="shared" si="27"/>
        <v>146.4</v>
      </c>
      <c r="AT52" s="183">
        <f t="shared" si="28"/>
        <v>97.6</v>
      </c>
      <c r="AU52" s="184">
        <v>0.3125</v>
      </c>
      <c r="AV52" s="184">
        <v>0.31944444444444448</v>
      </c>
      <c r="AW52" s="185">
        <v>0.60763888888888895</v>
      </c>
      <c r="AX52" s="185">
        <v>0.22916666666666666</v>
      </c>
      <c r="AY52" s="54">
        <v>10</v>
      </c>
      <c r="AZ52" s="54">
        <v>1</v>
      </c>
      <c r="BA52" s="54">
        <v>1000</v>
      </c>
      <c r="BB52" s="54">
        <v>109</v>
      </c>
      <c r="BC52" s="54">
        <v>57</v>
      </c>
      <c r="BD52" s="54">
        <v>74</v>
      </c>
      <c r="BE52" s="54">
        <v>60</v>
      </c>
      <c r="BF52" s="54">
        <v>1</v>
      </c>
      <c r="BG52" s="54">
        <v>100</v>
      </c>
      <c r="BH52" s="54">
        <v>100</v>
      </c>
      <c r="BI52" s="54">
        <v>0.5</v>
      </c>
      <c r="BJ52" s="54">
        <v>11</v>
      </c>
      <c r="BK52" s="54">
        <v>84</v>
      </c>
      <c r="BL52" s="54">
        <v>50</v>
      </c>
      <c r="BM52" s="54">
        <v>64</v>
      </c>
      <c r="BN52" s="54">
        <v>0</v>
      </c>
      <c r="BO52" s="54">
        <v>14</v>
      </c>
      <c r="BP52" s="54">
        <v>0</v>
      </c>
      <c r="BQ52" s="54">
        <v>0</v>
      </c>
      <c r="BR52" s="54">
        <v>0</v>
      </c>
      <c r="BS52" s="54">
        <v>320</v>
      </c>
      <c r="BT52" s="54">
        <v>10</v>
      </c>
      <c r="BU52" s="54">
        <v>0</v>
      </c>
      <c r="BV52" s="54">
        <v>0</v>
      </c>
      <c r="BW52" s="54">
        <v>100</v>
      </c>
      <c r="BX52" s="54">
        <v>0</v>
      </c>
      <c r="BY52" s="54">
        <v>2540</v>
      </c>
      <c r="BZ52" s="54">
        <v>3400</v>
      </c>
      <c r="CA52" s="54">
        <v>1750</v>
      </c>
      <c r="CB52" s="54">
        <v>5</v>
      </c>
      <c r="CC52" s="54">
        <v>7</v>
      </c>
      <c r="CD52" s="54">
        <v>12</v>
      </c>
      <c r="CE52" s="54">
        <v>5</v>
      </c>
      <c r="CF52" s="54">
        <v>6</v>
      </c>
      <c r="CG52" s="54"/>
      <c r="CH52" s="54"/>
      <c r="CI52" s="54"/>
      <c r="CJ52" s="54">
        <v>4</v>
      </c>
      <c r="CK52" s="54">
        <v>10.8</v>
      </c>
      <c r="CL52" s="54">
        <v>98</v>
      </c>
      <c r="CM52" s="54">
        <v>7.8</v>
      </c>
      <c r="CN52" s="54">
        <v>136</v>
      </c>
      <c r="CO52" s="54">
        <v>0</v>
      </c>
      <c r="CP52" s="54">
        <v>1</v>
      </c>
      <c r="CQ52" s="54">
        <v>0</v>
      </c>
      <c r="CR52" s="54">
        <v>0</v>
      </c>
      <c r="CS52" s="54">
        <v>0</v>
      </c>
      <c r="CT52" s="54">
        <v>0</v>
      </c>
      <c r="CU52" s="54">
        <v>1300</v>
      </c>
      <c r="CV52" s="54">
        <f t="shared" si="23"/>
        <v>5940</v>
      </c>
      <c r="CW52" s="259">
        <v>0.60069444444444442</v>
      </c>
      <c r="CX52" s="259">
        <v>0.6791666666666667</v>
      </c>
      <c r="CY52" s="185">
        <f t="shared" si="31"/>
        <v>7.8472222222222276E-2</v>
      </c>
      <c r="CZ52" s="186">
        <f t="shared" si="9"/>
        <v>113.00000000000009</v>
      </c>
      <c r="DA52" s="54">
        <v>136</v>
      </c>
      <c r="DB52" s="54">
        <v>81</v>
      </c>
      <c r="DC52" s="183">
        <f t="shared" si="29"/>
        <v>99.333333333333329</v>
      </c>
      <c r="DD52" s="54">
        <v>80</v>
      </c>
      <c r="DE52" s="54">
        <v>2</v>
      </c>
      <c r="DF52" s="54">
        <v>1</v>
      </c>
      <c r="DG52" s="54">
        <v>1</v>
      </c>
      <c r="DH52" s="54">
        <v>1</v>
      </c>
      <c r="DI52" s="54"/>
      <c r="DJ52" s="54"/>
      <c r="DK52" s="54"/>
      <c r="DL52" s="54"/>
      <c r="DM52" s="54"/>
      <c r="DN52" s="54">
        <v>3</v>
      </c>
      <c r="DO52" s="54">
        <v>4</v>
      </c>
      <c r="DP52" s="54">
        <v>5</v>
      </c>
      <c r="DQ52" s="54">
        <v>3</v>
      </c>
      <c r="DR52" s="54">
        <v>6</v>
      </c>
      <c r="DS52" s="54" t="s">
        <v>263</v>
      </c>
      <c r="DT52" s="54">
        <v>6</v>
      </c>
      <c r="DU52" s="54">
        <v>6</v>
      </c>
      <c r="DV52" s="54">
        <v>5</v>
      </c>
      <c r="DW52" s="54">
        <v>10</v>
      </c>
      <c r="DX52" s="54">
        <v>10</v>
      </c>
      <c r="DY52" s="54">
        <v>8.6</v>
      </c>
      <c r="DZ52" s="54">
        <v>7.7</v>
      </c>
      <c r="EA52" s="54">
        <v>7.4</v>
      </c>
      <c r="EB52" s="54">
        <v>8.1</v>
      </c>
      <c r="EC52" s="188">
        <v>7.9</v>
      </c>
      <c r="ED52" s="54">
        <v>24</v>
      </c>
      <c r="EE52" s="54">
        <v>21.6</v>
      </c>
      <c r="EF52" s="54">
        <v>20.8</v>
      </c>
      <c r="EG52" s="54">
        <v>22.7</v>
      </c>
      <c r="EH52" s="54">
        <v>22.3</v>
      </c>
      <c r="EI52" s="54">
        <v>0.89</v>
      </c>
      <c r="EJ52" s="54">
        <v>0.81</v>
      </c>
      <c r="EK52" s="54">
        <v>0.67</v>
      </c>
      <c r="EL52" s="54">
        <v>0.63</v>
      </c>
      <c r="EM52" s="54">
        <v>0.67</v>
      </c>
      <c r="EN52" s="54">
        <v>109</v>
      </c>
      <c r="EO52" s="54">
        <v>90</v>
      </c>
      <c r="EP52" s="54">
        <v>83</v>
      </c>
      <c r="EQ52" s="54">
        <v>74</v>
      </c>
      <c r="ER52" s="54">
        <v>62</v>
      </c>
      <c r="ES52" s="54">
        <v>95</v>
      </c>
      <c r="ET52" s="54"/>
      <c r="EU52" s="54"/>
      <c r="EV52" s="54"/>
      <c r="EW52" s="54"/>
      <c r="EX52" s="54"/>
      <c r="EY52" s="54"/>
      <c r="EZ52" s="54">
        <v>0</v>
      </c>
      <c r="FA52" s="190">
        <v>41921</v>
      </c>
      <c r="FB52" s="54">
        <f t="shared" si="30"/>
        <v>7</v>
      </c>
      <c r="FC52" s="54"/>
    </row>
    <row r="53" spans="1:165" s="25" customFormat="1" x14ac:dyDescent="0.25">
      <c r="A53" s="92" t="s">
        <v>150</v>
      </c>
      <c r="B53" s="56" t="s">
        <v>170</v>
      </c>
      <c r="C53" s="54" t="s">
        <v>157</v>
      </c>
      <c r="D53" s="195" t="str">
        <f t="shared" si="22"/>
        <v xml:space="preserve">85 Y 10 M </v>
      </c>
      <c r="E53" s="54">
        <v>2</v>
      </c>
      <c r="F53" s="182">
        <v>10546</v>
      </c>
      <c r="G53" s="182">
        <v>41921</v>
      </c>
      <c r="H53" s="183">
        <v>154.9</v>
      </c>
      <c r="I53" s="183">
        <v>43</v>
      </c>
      <c r="J53" s="183">
        <f t="shared" si="24"/>
        <v>47.763855270000015</v>
      </c>
      <c r="K53" s="183">
        <f t="shared" si="25"/>
        <v>17.92113948439631</v>
      </c>
      <c r="L53" s="186">
        <v>0</v>
      </c>
      <c r="M53" s="186">
        <v>0</v>
      </c>
      <c r="N53" s="186">
        <v>0</v>
      </c>
      <c r="O53" s="186">
        <v>0</v>
      </c>
      <c r="P53" s="186">
        <v>0</v>
      </c>
      <c r="Q53" s="186">
        <v>0</v>
      </c>
      <c r="R53" s="186">
        <v>0</v>
      </c>
      <c r="S53" s="186">
        <v>0</v>
      </c>
      <c r="T53" s="186">
        <v>0</v>
      </c>
      <c r="U53" s="186">
        <v>0</v>
      </c>
      <c r="V53" s="186">
        <v>0</v>
      </c>
      <c r="W53" s="186">
        <v>0</v>
      </c>
      <c r="X53" s="186">
        <v>0</v>
      </c>
      <c r="Y53" s="183">
        <v>0</v>
      </c>
      <c r="Z53" s="186">
        <v>0</v>
      </c>
      <c r="AA53" s="186">
        <v>0</v>
      </c>
      <c r="AB53" s="186">
        <v>0</v>
      </c>
      <c r="AC53" s="186">
        <v>0</v>
      </c>
      <c r="AD53" s="186">
        <v>0</v>
      </c>
      <c r="AE53" s="186">
        <v>0</v>
      </c>
      <c r="AF53" s="186">
        <v>0</v>
      </c>
      <c r="AG53" s="186">
        <v>0</v>
      </c>
      <c r="AH53" s="186">
        <v>0</v>
      </c>
      <c r="AI53" s="54"/>
      <c r="AJ53" s="54"/>
      <c r="AK53" s="183">
        <v>13.2</v>
      </c>
      <c r="AL53" s="54">
        <v>40.200000000000003</v>
      </c>
      <c r="AM53" s="54">
        <v>0.6</v>
      </c>
      <c r="AN53" s="54" t="s">
        <v>128</v>
      </c>
      <c r="AO53" s="54"/>
      <c r="AP53" s="183">
        <v>157</v>
      </c>
      <c r="AQ53" s="183">
        <v>84.75</v>
      </c>
      <c r="AR53" s="183">
        <f t="shared" si="26"/>
        <v>108.83333333333333</v>
      </c>
      <c r="AS53" s="183">
        <f t="shared" si="27"/>
        <v>188.4</v>
      </c>
      <c r="AT53" s="183">
        <f t="shared" si="28"/>
        <v>125.6</v>
      </c>
      <c r="AU53" s="184">
        <v>0.32083333333333336</v>
      </c>
      <c r="AV53" s="184">
        <v>0.32569444444444445</v>
      </c>
      <c r="AW53" s="185">
        <v>0.58680555555555558</v>
      </c>
      <c r="AX53" s="185">
        <v>0.20833333333333334</v>
      </c>
      <c r="AY53" s="54">
        <v>8</v>
      </c>
      <c r="AZ53" s="54">
        <v>1</v>
      </c>
      <c r="BA53" s="54">
        <v>1000</v>
      </c>
      <c r="BB53" s="54">
        <v>120</v>
      </c>
      <c r="BC53" s="54">
        <v>46</v>
      </c>
      <c r="BD53" s="54">
        <v>69</v>
      </c>
      <c r="BE53" s="54">
        <v>89</v>
      </c>
      <c r="BF53" s="54">
        <v>1</v>
      </c>
      <c r="BG53" s="54">
        <v>40</v>
      </c>
      <c r="BH53" s="54">
        <v>50</v>
      </c>
      <c r="BI53" s="54">
        <v>0.5</v>
      </c>
      <c r="BJ53" s="54">
        <v>8</v>
      </c>
      <c r="BK53" s="54">
        <v>81</v>
      </c>
      <c r="BL53" s="54">
        <v>39</v>
      </c>
      <c r="BM53" s="54">
        <v>49</v>
      </c>
      <c r="BN53" s="54">
        <v>1</v>
      </c>
      <c r="BO53" s="54">
        <v>10</v>
      </c>
      <c r="BP53" s="54">
        <v>0</v>
      </c>
      <c r="BQ53" s="54">
        <v>0</v>
      </c>
      <c r="BR53" s="54">
        <v>0</v>
      </c>
      <c r="BS53" s="54">
        <v>720</v>
      </c>
      <c r="BT53" s="54">
        <v>10</v>
      </c>
      <c r="BU53" s="54">
        <v>0</v>
      </c>
      <c r="BV53" s="54">
        <v>0</v>
      </c>
      <c r="BW53" s="54">
        <v>50</v>
      </c>
      <c r="BX53" s="54">
        <v>0</v>
      </c>
      <c r="BY53" s="54">
        <v>1410</v>
      </c>
      <c r="BZ53" s="54">
        <v>700</v>
      </c>
      <c r="CA53" s="54">
        <v>500</v>
      </c>
      <c r="CB53" s="54">
        <v>3</v>
      </c>
      <c r="CC53" s="54">
        <v>21</v>
      </c>
      <c r="CD53" s="54">
        <v>26</v>
      </c>
      <c r="CE53" s="54">
        <v>17</v>
      </c>
      <c r="CF53" s="54">
        <v>5</v>
      </c>
      <c r="CG53" s="54"/>
      <c r="CH53" s="54"/>
      <c r="CI53" s="54"/>
      <c r="CJ53" s="54">
        <v>4</v>
      </c>
      <c r="CK53" s="54">
        <v>10.199999999999999</v>
      </c>
      <c r="CL53" s="54">
        <v>172</v>
      </c>
      <c r="CM53" s="54">
        <v>10.199999999999999</v>
      </c>
      <c r="CN53" s="54">
        <v>172</v>
      </c>
      <c r="CO53" s="54">
        <v>0</v>
      </c>
      <c r="CP53" s="54">
        <v>1</v>
      </c>
      <c r="CQ53" s="54">
        <v>0</v>
      </c>
      <c r="CR53" s="54">
        <v>0</v>
      </c>
      <c r="CS53" s="54">
        <v>0</v>
      </c>
      <c r="CT53" s="54">
        <v>0</v>
      </c>
      <c r="CU53" s="54">
        <v>100</v>
      </c>
      <c r="CV53" s="54">
        <f t="shared" si="23"/>
        <v>2110</v>
      </c>
      <c r="CW53" s="259">
        <v>0.58194444444444449</v>
      </c>
      <c r="CX53" s="259">
        <v>0.68055555555555547</v>
      </c>
      <c r="CY53" s="185">
        <f t="shared" si="31"/>
        <v>9.8611111111110983E-2</v>
      </c>
      <c r="CZ53" s="186">
        <f t="shared" si="9"/>
        <v>141.99999999999983</v>
      </c>
      <c r="DA53" s="54">
        <v>138</v>
      </c>
      <c r="DB53" s="54">
        <v>60</v>
      </c>
      <c r="DC53" s="183">
        <f t="shared" si="29"/>
        <v>86</v>
      </c>
      <c r="DD53" s="54">
        <v>85</v>
      </c>
      <c r="DE53" s="54">
        <v>2</v>
      </c>
      <c r="DF53" s="54">
        <v>1</v>
      </c>
      <c r="DG53" s="54">
        <v>1</v>
      </c>
      <c r="DH53" s="54">
        <v>1</v>
      </c>
      <c r="DI53" s="54"/>
      <c r="DJ53" s="54"/>
      <c r="DK53" s="54"/>
      <c r="DL53" s="54"/>
      <c r="DM53" s="54"/>
      <c r="DN53" s="54">
        <v>6</v>
      </c>
      <c r="DO53" s="54">
        <v>5</v>
      </c>
      <c r="DP53" s="54">
        <v>6</v>
      </c>
      <c r="DQ53" s="54">
        <v>4</v>
      </c>
      <c r="DR53" s="54">
        <v>2</v>
      </c>
      <c r="DS53" s="54" t="s">
        <v>263</v>
      </c>
      <c r="DT53" s="54">
        <v>0</v>
      </c>
      <c r="DU53" s="54">
        <v>0</v>
      </c>
      <c r="DV53" s="54">
        <v>0</v>
      </c>
      <c r="DW53" s="54">
        <v>4</v>
      </c>
      <c r="DX53" s="54">
        <v>8</v>
      </c>
      <c r="DY53" s="54">
        <v>10.9</v>
      </c>
      <c r="DZ53" s="54"/>
      <c r="EA53" s="54">
        <v>10</v>
      </c>
      <c r="EB53" s="54">
        <v>9.6999999999999993</v>
      </c>
      <c r="EC53" s="188">
        <v>10.6</v>
      </c>
      <c r="ED53" s="54">
        <v>33.299999999999997</v>
      </c>
      <c r="EE53" s="54">
        <v>30.5</v>
      </c>
      <c r="EF53" s="54">
        <v>29.9</v>
      </c>
      <c r="EG53" s="54">
        <v>31.7</v>
      </c>
      <c r="EH53" s="189">
        <v>33.9</v>
      </c>
      <c r="EI53" s="54">
        <v>0.52</v>
      </c>
      <c r="EJ53" s="54"/>
      <c r="EK53" s="54">
        <v>0.43</v>
      </c>
      <c r="EL53" s="54">
        <v>0.42</v>
      </c>
      <c r="EM53" s="54">
        <v>0.47</v>
      </c>
      <c r="EN53" s="54">
        <v>117</v>
      </c>
      <c r="EO53" s="54">
        <v>104</v>
      </c>
      <c r="EP53" s="54"/>
      <c r="EQ53" s="54">
        <v>110</v>
      </c>
      <c r="ER53" s="54">
        <v>94</v>
      </c>
      <c r="ES53" s="54">
        <v>100</v>
      </c>
      <c r="ET53" s="54"/>
      <c r="EU53" s="54"/>
      <c r="EV53" s="54"/>
      <c r="EW53" s="54"/>
      <c r="EX53" s="54"/>
      <c r="EY53" s="54"/>
      <c r="EZ53" s="54">
        <v>0</v>
      </c>
      <c r="FA53" s="190">
        <v>41932</v>
      </c>
      <c r="FB53" s="54">
        <f t="shared" si="30"/>
        <v>11</v>
      </c>
      <c r="FC53" s="54"/>
    </row>
    <row r="54" spans="1:165" s="25" customFormat="1" x14ac:dyDescent="0.25">
      <c r="A54" s="92" t="s">
        <v>151</v>
      </c>
      <c r="B54" s="56" t="s">
        <v>171</v>
      </c>
      <c r="C54" s="54" t="s">
        <v>157</v>
      </c>
      <c r="D54" s="195" t="str">
        <f t="shared" si="22"/>
        <v xml:space="preserve">82 Y 3 M </v>
      </c>
      <c r="E54" s="54">
        <v>2</v>
      </c>
      <c r="F54" s="182">
        <v>11879</v>
      </c>
      <c r="G54" s="182">
        <v>41922</v>
      </c>
      <c r="H54" s="183">
        <v>154</v>
      </c>
      <c r="I54" s="183">
        <v>54</v>
      </c>
      <c r="J54" s="183">
        <f t="shared" si="24"/>
        <v>46.948894200000012</v>
      </c>
      <c r="K54" s="183">
        <f t="shared" si="25"/>
        <v>22.769438353853939</v>
      </c>
      <c r="L54" s="186">
        <v>1</v>
      </c>
      <c r="M54" s="186">
        <v>0</v>
      </c>
      <c r="N54" s="186">
        <v>0</v>
      </c>
      <c r="O54" s="186">
        <v>0</v>
      </c>
      <c r="P54" s="186">
        <v>0</v>
      </c>
      <c r="Q54" s="186">
        <v>0</v>
      </c>
      <c r="R54" s="186">
        <v>0</v>
      </c>
      <c r="S54" s="186">
        <v>0</v>
      </c>
      <c r="T54" s="186">
        <v>0</v>
      </c>
      <c r="U54" s="186">
        <v>0</v>
      </c>
      <c r="V54" s="186">
        <v>0</v>
      </c>
      <c r="W54" s="186">
        <v>0</v>
      </c>
      <c r="X54" s="186">
        <v>0</v>
      </c>
      <c r="Y54" s="183">
        <v>0</v>
      </c>
      <c r="Z54" s="186">
        <v>0</v>
      </c>
      <c r="AA54" s="186">
        <v>0</v>
      </c>
      <c r="AB54" s="186">
        <v>0</v>
      </c>
      <c r="AC54" s="186">
        <v>0</v>
      </c>
      <c r="AD54" s="186">
        <v>0</v>
      </c>
      <c r="AE54" s="186">
        <v>0</v>
      </c>
      <c r="AF54" s="186">
        <v>0</v>
      </c>
      <c r="AG54" s="186">
        <v>0</v>
      </c>
      <c r="AH54" s="186">
        <v>0</v>
      </c>
      <c r="AI54" s="54"/>
      <c r="AJ54" s="54"/>
      <c r="AK54" s="183">
        <v>13.7</v>
      </c>
      <c r="AL54" s="54">
        <v>41</v>
      </c>
      <c r="AM54" s="54">
        <v>0.82</v>
      </c>
      <c r="AN54" s="54" t="s">
        <v>128</v>
      </c>
      <c r="AO54" s="54"/>
      <c r="AP54" s="183">
        <v>147</v>
      </c>
      <c r="AQ54" s="183">
        <v>91</v>
      </c>
      <c r="AR54" s="183">
        <f t="shared" si="26"/>
        <v>109.66666666666667</v>
      </c>
      <c r="AS54" s="183">
        <f t="shared" si="27"/>
        <v>176.4</v>
      </c>
      <c r="AT54" s="183">
        <f t="shared" si="28"/>
        <v>117.6</v>
      </c>
      <c r="AU54" s="184">
        <v>0.47222222222222227</v>
      </c>
      <c r="AV54" s="184">
        <v>0.4777777777777778</v>
      </c>
      <c r="AW54" s="185">
        <v>0.72569444444444453</v>
      </c>
      <c r="AX54" s="185">
        <v>0.37847222222222227</v>
      </c>
      <c r="AY54" s="183">
        <v>11.5</v>
      </c>
      <c r="AZ54" s="54">
        <v>1</v>
      </c>
      <c r="BA54" s="54">
        <v>1000</v>
      </c>
      <c r="BB54" s="54">
        <v>151</v>
      </c>
      <c r="BC54" s="54">
        <v>84</v>
      </c>
      <c r="BD54" s="54">
        <v>102</v>
      </c>
      <c r="BE54" s="54">
        <v>90</v>
      </c>
      <c r="BF54" s="54">
        <v>1</v>
      </c>
      <c r="BG54" s="54">
        <v>40</v>
      </c>
      <c r="BH54" s="54">
        <v>100</v>
      </c>
      <c r="BI54" s="54">
        <v>0.4</v>
      </c>
      <c r="BJ54" s="54">
        <v>10</v>
      </c>
      <c r="BK54" s="54">
        <v>75</v>
      </c>
      <c r="BL54" s="54">
        <v>42</v>
      </c>
      <c r="BM54" s="54">
        <v>55</v>
      </c>
      <c r="BN54" s="54">
        <v>1</v>
      </c>
      <c r="BO54" s="54">
        <v>35</v>
      </c>
      <c r="BP54" s="54">
        <v>0</v>
      </c>
      <c r="BQ54" s="54">
        <v>1</v>
      </c>
      <c r="BR54" s="54">
        <v>0.46899999999999997</v>
      </c>
      <c r="BS54" s="54">
        <v>320</v>
      </c>
      <c r="BT54" s="54">
        <v>0</v>
      </c>
      <c r="BU54" s="54">
        <v>0</v>
      </c>
      <c r="BV54" s="54">
        <v>0</v>
      </c>
      <c r="BW54" s="54">
        <v>100</v>
      </c>
      <c r="BX54" s="54">
        <v>0</v>
      </c>
      <c r="BY54" s="54">
        <v>1100</v>
      </c>
      <c r="BZ54" s="54">
        <v>2000</v>
      </c>
      <c r="CA54" s="54">
        <v>500</v>
      </c>
      <c r="CB54" s="54">
        <v>3</v>
      </c>
      <c r="CC54" s="54">
        <v>4</v>
      </c>
      <c r="CD54" s="54">
        <v>9</v>
      </c>
      <c r="CE54" s="54">
        <v>11</v>
      </c>
      <c r="CF54" s="54"/>
      <c r="CG54" s="54"/>
      <c r="CH54" s="54"/>
      <c r="CI54" s="54"/>
      <c r="CJ54" s="54">
        <v>4</v>
      </c>
      <c r="CK54" s="54">
        <v>11</v>
      </c>
      <c r="CL54" s="54">
        <v>111</v>
      </c>
      <c r="CM54" s="54">
        <v>10.8</v>
      </c>
      <c r="CN54" s="54">
        <v>138</v>
      </c>
      <c r="CO54" s="54">
        <v>0</v>
      </c>
      <c r="CP54" s="54">
        <v>1</v>
      </c>
      <c r="CQ54" s="54">
        <v>1</v>
      </c>
      <c r="CR54" s="54">
        <v>50</v>
      </c>
      <c r="CS54" s="54">
        <v>0</v>
      </c>
      <c r="CT54" s="54">
        <v>0</v>
      </c>
      <c r="CU54" s="54">
        <v>250</v>
      </c>
      <c r="CV54" s="54">
        <f t="shared" si="23"/>
        <v>3100</v>
      </c>
      <c r="CW54" s="259">
        <v>0.71736111111111101</v>
      </c>
      <c r="CX54" s="259">
        <v>0.8125</v>
      </c>
      <c r="CY54" s="185">
        <f t="shared" si="31"/>
        <v>9.5138888888888995E-2</v>
      </c>
      <c r="CZ54" s="186">
        <f t="shared" si="9"/>
        <v>137.00000000000014</v>
      </c>
      <c r="DA54" s="54">
        <v>125</v>
      </c>
      <c r="DB54" s="54">
        <v>70</v>
      </c>
      <c r="DC54" s="183">
        <f t="shared" si="29"/>
        <v>88.333333333333329</v>
      </c>
      <c r="DD54" s="54">
        <v>100</v>
      </c>
      <c r="DE54" s="54">
        <v>4</v>
      </c>
      <c r="DF54" s="54">
        <v>1</v>
      </c>
      <c r="DG54" s="54">
        <v>1</v>
      </c>
      <c r="DH54" s="54">
        <v>1</v>
      </c>
      <c r="DI54" s="54"/>
      <c r="DJ54" s="54"/>
      <c r="DK54" s="54"/>
      <c r="DL54" s="54"/>
      <c r="DM54" s="54"/>
      <c r="DN54" s="54">
        <v>5</v>
      </c>
      <c r="DO54" s="54">
        <v>5</v>
      </c>
      <c r="DP54" s="54">
        <v>6</v>
      </c>
      <c r="DQ54" s="54">
        <v>4</v>
      </c>
      <c r="DR54" s="54">
        <v>10</v>
      </c>
      <c r="DS54" s="54" t="s">
        <v>263</v>
      </c>
      <c r="DT54" s="54">
        <v>2</v>
      </c>
      <c r="DU54" s="54">
        <v>2</v>
      </c>
      <c r="DV54" s="54">
        <v>2</v>
      </c>
      <c r="DW54" s="54">
        <v>0</v>
      </c>
      <c r="DX54" s="54">
        <v>6</v>
      </c>
      <c r="DY54" s="54">
        <v>10.199999999999999</v>
      </c>
      <c r="DZ54" s="54">
        <v>9.1999999999999993</v>
      </c>
      <c r="EA54" s="54">
        <v>8.9</v>
      </c>
      <c r="EB54" s="54">
        <v>8.9</v>
      </c>
      <c r="EC54" s="188">
        <v>10</v>
      </c>
      <c r="ED54" s="54">
        <v>30.8</v>
      </c>
      <c r="EE54" s="54">
        <v>27.6</v>
      </c>
      <c r="EF54" s="54">
        <v>27.2</v>
      </c>
      <c r="EG54" s="54">
        <v>26.4</v>
      </c>
      <c r="EH54" s="189">
        <v>29.3</v>
      </c>
      <c r="EI54" s="54">
        <v>1.1499999999999999</v>
      </c>
      <c r="EJ54" s="54">
        <v>0.88</v>
      </c>
      <c r="EK54" s="54">
        <v>0.71</v>
      </c>
      <c r="EL54" s="54">
        <v>0.69</v>
      </c>
      <c r="EM54" s="54">
        <v>0.65</v>
      </c>
      <c r="EN54" s="54">
        <v>126</v>
      </c>
      <c r="EO54" s="54">
        <v>89</v>
      </c>
      <c r="EP54" s="54">
        <v>108</v>
      </c>
      <c r="EQ54" s="54">
        <v>109</v>
      </c>
      <c r="ER54" s="54">
        <v>103</v>
      </c>
      <c r="ES54" s="54">
        <v>79</v>
      </c>
      <c r="ET54" s="54"/>
      <c r="EU54" s="54"/>
      <c r="EV54" s="54"/>
      <c r="EW54" s="54"/>
      <c r="EX54" s="54"/>
      <c r="EY54" s="54"/>
      <c r="EZ54" s="54">
        <v>0</v>
      </c>
      <c r="FA54" s="190">
        <v>41931</v>
      </c>
      <c r="FB54" s="54">
        <f t="shared" si="30"/>
        <v>9</v>
      </c>
      <c r="FC54" s="54"/>
    </row>
    <row r="55" spans="1:165" s="25" customFormat="1" ht="15" customHeight="1" x14ac:dyDescent="0.25">
      <c r="A55" s="92" t="s">
        <v>240</v>
      </c>
      <c r="B55" s="56" t="s">
        <v>241</v>
      </c>
      <c r="C55" s="54" t="s">
        <v>157</v>
      </c>
      <c r="D55" s="54" t="str">
        <f t="shared" si="22"/>
        <v xml:space="preserve">72 Y 4 M </v>
      </c>
      <c r="E55" s="54">
        <v>1</v>
      </c>
      <c r="F55" s="182">
        <v>15506</v>
      </c>
      <c r="G55" s="182">
        <v>41928</v>
      </c>
      <c r="H55" s="183">
        <v>193.3</v>
      </c>
      <c r="I55" s="183">
        <v>94.2</v>
      </c>
      <c r="J55" s="183">
        <f t="shared" si="24"/>
        <v>87.035527590000015</v>
      </c>
      <c r="K55" s="183">
        <f t="shared" si="25"/>
        <v>25.210832950398085</v>
      </c>
      <c r="L55" s="186">
        <v>0</v>
      </c>
      <c r="M55" s="186">
        <v>1</v>
      </c>
      <c r="N55" s="186">
        <v>1</v>
      </c>
      <c r="O55" s="186">
        <v>0</v>
      </c>
      <c r="P55" s="186">
        <v>0</v>
      </c>
      <c r="Q55" s="186">
        <v>0</v>
      </c>
      <c r="R55" s="186">
        <v>0</v>
      </c>
      <c r="S55" s="186">
        <v>0</v>
      </c>
      <c r="T55" s="186">
        <v>0</v>
      </c>
      <c r="U55" s="186">
        <v>0</v>
      </c>
      <c r="V55" s="186">
        <v>0</v>
      </c>
      <c r="W55" s="186">
        <v>1</v>
      </c>
      <c r="X55" s="186">
        <v>1</v>
      </c>
      <c r="Y55" s="183">
        <v>50</v>
      </c>
      <c r="Z55" s="186">
        <v>0</v>
      </c>
      <c r="AA55" s="186">
        <v>0</v>
      </c>
      <c r="AB55" s="186">
        <v>0</v>
      </c>
      <c r="AC55" s="186">
        <v>0</v>
      </c>
      <c r="AD55" s="186">
        <v>0</v>
      </c>
      <c r="AE55" s="186">
        <v>0</v>
      </c>
      <c r="AF55" s="186">
        <v>0</v>
      </c>
      <c r="AG55" s="186">
        <v>0</v>
      </c>
      <c r="AH55" s="186">
        <v>0</v>
      </c>
      <c r="AI55" s="186"/>
      <c r="AJ55" s="186"/>
      <c r="AK55" s="183">
        <v>13.3</v>
      </c>
      <c r="AL55" s="54">
        <v>38.5</v>
      </c>
      <c r="AM55" s="54">
        <v>1.3</v>
      </c>
      <c r="AN55" s="54" t="s">
        <v>128</v>
      </c>
      <c r="AO55" s="54"/>
      <c r="AP55" s="183">
        <v>148</v>
      </c>
      <c r="AQ55" s="183">
        <v>84.25</v>
      </c>
      <c r="AR55" s="183">
        <f t="shared" si="26"/>
        <v>105.5</v>
      </c>
      <c r="AS55" s="183">
        <f t="shared" si="27"/>
        <v>177.6</v>
      </c>
      <c r="AT55" s="183">
        <f t="shared" si="28"/>
        <v>118.4</v>
      </c>
      <c r="AU55" s="184">
        <v>0.36874999999999997</v>
      </c>
      <c r="AV55" s="184">
        <v>0.37708333333333338</v>
      </c>
      <c r="AW55" s="185">
        <v>0.71736111111111101</v>
      </c>
      <c r="AX55" s="185">
        <v>0.29166666666666669</v>
      </c>
      <c r="AY55" s="183">
        <v>12</v>
      </c>
      <c r="AZ55" s="54">
        <v>1</v>
      </c>
      <c r="BA55" s="54">
        <v>1000</v>
      </c>
      <c r="BB55" s="54">
        <v>211</v>
      </c>
      <c r="BC55" s="54">
        <v>91</v>
      </c>
      <c r="BD55" s="54">
        <v>138</v>
      </c>
      <c r="BE55" s="54">
        <v>70</v>
      </c>
      <c r="BF55" s="54">
        <v>1</v>
      </c>
      <c r="BG55" s="54">
        <v>200</v>
      </c>
      <c r="BH55" s="54">
        <v>150</v>
      </c>
      <c r="BI55" s="54">
        <v>0.5</v>
      </c>
      <c r="BJ55" s="54">
        <v>10</v>
      </c>
      <c r="BK55" s="54">
        <v>105</v>
      </c>
      <c r="BL55" s="54">
        <v>51</v>
      </c>
      <c r="BM55" s="54">
        <v>71</v>
      </c>
      <c r="BN55" s="54">
        <v>0</v>
      </c>
      <c r="BO55" s="54">
        <v>7</v>
      </c>
      <c r="BP55" s="54">
        <v>0.4</v>
      </c>
      <c r="BQ55" s="54">
        <v>0</v>
      </c>
      <c r="BR55" s="54">
        <v>0</v>
      </c>
      <c r="BS55" s="54">
        <v>0</v>
      </c>
      <c r="BT55" s="54">
        <v>15</v>
      </c>
      <c r="BU55" s="54">
        <v>0</v>
      </c>
      <c r="BV55" s="54">
        <v>0</v>
      </c>
      <c r="BW55" s="54">
        <v>150</v>
      </c>
      <c r="BX55" s="54">
        <v>0</v>
      </c>
      <c r="BY55" s="54">
        <v>2669</v>
      </c>
      <c r="BZ55" s="54">
        <v>800</v>
      </c>
      <c r="CA55" s="54">
        <v>750</v>
      </c>
      <c r="CB55" s="54">
        <v>7</v>
      </c>
      <c r="CC55" s="54">
        <v>6</v>
      </c>
      <c r="CD55" s="54">
        <v>7</v>
      </c>
      <c r="CE55" s="54">
        <v>6</v>
      </c>
      <c r="CF55" s="54">
        <v>5</v>
      </c>
      <c r="CG55" s="54"/>
      <c r="CH55" s="54"/>
      <c r="CI55" s="54"/>
      <c r="CJ55" s="54">
        <v>8</v>
      </c>
      <c r="CK55" s="92">
        <v>11.3</v>
      </c>
      <c r="CL55" s="54">
        <v>265</v>
      </c>
      <c r="CM55" s="54">
        <v>10.5</v>
      </c>
      <c r="CN55" s="54">
        <v>265</v>
      </c>
      <c r="CO55" s="54">
        <v>0</v>
      </c>
      <c r="CP55" s="54">
        <v>1</v>
      </c>
      <c r="CQ55" s="54"/>
      <c r="CR55" s="54"/>
      <c r="CS55" s="54"/>
      <c r="CT55" s="54">
        <v>0</v>
      </c>
      <c r="CU55" s="54">
        <v>500</v>
      </c>
      <c r="CV55" s="54">
        <f t="shared" si="23"/>
        <v>3469</v>
      </c>
      <c r="CW55" s="259">
        <v>0.7104166666666667</v>
      </c>
      <c r="CX55" s="259">
        <v>0.77083333333333337</v>
      </c>
      <c r="CY55" s="185">
        <f t="shared" si="31"/>
        <v>6.0416666666666674E-2</v>
      </c>
      <c r="CZ55" s="186">
        <f t="shared" si="9"/>
        <v>87.000000000000014</v>
      </c>
      <c r="DA55" s="54">
        <v>141</v>
      </c>
      <c r="DB55" s="54">
        <v>71</v>
      </c>
      <c r="DC55" s="183">
        <f t="shared" si="29"/>
        <v>94.333333333333329</v>
      </c>
      <c r="DD55" s="54">
        <v>81</v>
      </c>
      <c r="DE55" s="54">
        <v>5</v>
      </c>
      <c r="DF55" s="54">
        <v>1</v>
      </c>
      <c r="DG55" s="54">
        <v>1</v>
      </c>
      <c r="DH55" s="54">
        <v>1</v>
      </c>
      <c r="DI55" s="54"/>
      <c r="DJ55" s="54"/>
      <c r="DK55" s="54"/>
      <c r="DL55" s="54"/>
      <c r="DM55" s="54"/>
      <c r="DN55" s="54">
        <v>4</v>
      </c>
      <c r="DO55" s="54">
        <v>5</v>
      </c>
      <c r="DP55" s="54">
        <v>6</v>
      </c>
      <c r="DQ55" s="54">
        <v>4</v>
      </c>
      <c r="DR55" s="54">
        <v>0</v>
      </c>
      <c r="DS55" s="54" t="s">
        <v>263</v>
      </c>
      <c r="DT55" s="54" t="s">
        <v>263</v>
      </c>
      <c r="DU55" s="54">
        <v>5</v>
      </c>
      <c r="DV55" s="54">
        <v>5</v>
      </c>
      <c r="DW55" s="54">
        <v>6</v>
      </c>
      <c r="DX55" s="54"/>
      <c r="DY55" s="54">
        <v>10.9</v>
      </c>
      <c r="DZ55" s="54">
        <v>10.7</v>
      </c>
      <c r="EA55" s="54">
        <v>10.4</v>
      </c>
      <c r="EB55" s="54">
        <v>10.199999999999999</v>
      </c>
      <c r="EC55" s="188">
        <v>8.5</v>
      </c>
      <c r="ED55" s="54">
        <v>32.299999999999997</v>
      </c>
      <c r="EE55" s="54">
        <v>31.7</v>
      </c>
      <c r="EF55" s="54">
        <v>30.1</v>
      </c>
      <c r="EG55" s="54">
        <v>29.5</v>
      </c>
      <c r="EH55" s="189">
        <v>27</v>
      </c>
      <c r="EI55" s="54">
        <v>1.0900000000000001</v>
      </c>
      <c r="EJ55" s="54">
        <v>1.08</v>
      </c>
      <c r="EK55" s="54">
        <v>1.07</v>
      </c>
      <c r="EL55" s="54">
        <v>0.95</v>
      </c>
      <c r="EM55" s="54">
        <v>0.98</v>
      </c>
      <c r="EN55" s="54"/>
      <c r="EO55" s="54">
        <v>182</v>
      </c>
      <c r="EP55" s="54">
        <v>223</v>
      </c>
      <c r="EQ55" s="54">
        <v>195</v>
      </c>
      <c r="ER55" s="54">
        <v>201</v>
      </c>
      <c r="ES55" s="54">
        <v>138</v>
      </c>
      <c r="ET55" s="54"/>
      <c r="EU55" s="54"/>
      <c r="EV55" s="54"/>
      <c r="EW55" s="54"/>
      <c r="EX55" s="54"/>
      <c r="EY55" s="54">
        <v>1</v>
      </c>
      <c r="EZ55" s="54">
        <v>6</v>
      </c>
      <c r="FA55" s="190">
        <v>41945</v>
      </c>
      <c r="FB55" s="54">
        <f t="shared" si="30"/>
        <v>17</v>
      </c>
      <c r="FC55" s="54" t="s">
        <v>258</v>
      </c>
    </row>
    <row r="56" spans="1:165" s="25" customFormat="1" ht="15" customHeight="1" x14ac:dyDescent="0.25">
      <c r="A56" s="199" t="s">
        <v>373</v>
      </c>
      <c r="B56" s="56" t="s">
        <v>374</v>
      </c>
      <c r="C56" s="54" t="s">
        <v>157</v>
      </c>
      <c r="D56" s="54" t="str">
        <f t="shared" si="22"/>
        <v xml:space="preserve">68 Y 8 M </v>
      </c>
      <c r="E56" s="54">
        <v>1</v>
      </c>
      <c r="F56" s="182">
        <v>16858</v>
      </c>
      <c r="G56" s="182">
        <v>41962</v>
      </c>
      <c r="H56" s="183">
        <v>177.8</v>
      </c>
      <c r="I56" s="183">
        <v>100.2</v>
      </c>
      <c r="J56" s="183">
        <f t="shared" si="24"/>
        <v>73.000086940000031</v>
      </c>
      <c r="K56" s="183">
        <f t="shared" si="25"/>
        <v>31.695981759310456</v>
      </c>
      <c r="L56" s="186">
        <v>1</v>
      </c>
      <c r="M56" s="186">
        <v>1</v>
      </c>
      <c r="N56" s="186">
        <v>0</v>
      </c>
      <c r="O56" s="186">
        <v>0</v>
      </c>
      <c r="P56" s="186">
        <v>0</v>
      </c>
      <c r="Q56" s="186">
        <v>0</v>
      </c>
      <c r="R56" s="186">
        <v>0</v>
      </c>
      <c r="S56" s="186">
        <v>0</v>
      </c>
      <c r="T56" s="186">
        <v>1</v>
      </c>
      <c r="U56" s="186">
        <v>1</v>
      </c>
      <c r="V56" s="186">
        <v>100</v>
      </c>
      <c r="W56" s="186">
        <v>0</v>
      </c>
      <c r="X56" s="186">
        <v>0</v>
      </c>
      <c r="Y56" s="186">
        <v>0</v>
      </c>
      <c r="Z56" s="186">
        <v>0</v>
      </c>
      <c r="AA56" s="186">
        <v>0</v>
      </c>
      <c r="AB56" s="186">
        <v>0</v>
      </c>
      <c r="AC56" s="186">
        <v>0</v>
      </c>
      <c r="AD56" s="186">
        <v>0</v>
      </c>
      <c r="AE56" s="186">
        <v>0</v>
      </c>
      <c r="AF56" s="186">
        <v>1</v>
      </c>
      <c r="AG56" s="186">
        <v>1</v>
      </c>
      <c r="AH56" s="186">
        <v>25</v>
      </c>
      <c r="AI56" s="186"/>
      <c r="AJ56" s="186"/>
      <c r="AK56" s="183">
        <v>11.6</v>
      </c>
      <c r="AL56" s="54">
        <v>35.200000000000003</v>
      </c>
      <c r="AM56" s="54">
        <v>1.0900000000000001</v>
      </c>
      <c r="AN56" s="54" t="s">
        <v>128</v>
      </c>
      <c r="AO56" s="54"/>
      <c r="AP56" s="183">
        <v>126.5</v>
      </c>
      <c r="AQ56" s="183">
        <v>72.5</v>
      </c>
      <c r="AR56" s="183">
        <f t="shared" si="26"/>
        <v>90.5</v>
      </c>
      <c r="AS56" s="183">
        <f t="shared" si="27"/>
        <v>151.80000000000001</v>
      </c>
      <c r="AT56" s="183">
        <f t="shared" si="28"/>
        <v>101.2</v>
      </c>
      <c r="AU56" s="184">
        <v>0.35138888888888892</v>
      </c>
      <c r="AV56" s="184">
        <v>0.3611111111111111</v>
      </c>
      <c r="AW56" s="185">
        <v>0.68958333333333333</v>
      </c>
      <c r="AX56" s="185">
        <v>0.27777777777777779</v>
      </c>
      <c r="AY56" s="183">
        <v>8.1</v>
      </c>
      <c r="AZ56" s="54">
        <v>1</v>
      </c>
      <c r="BA56" s="54">
        <v>1000</v>
      </c>
      <c r="BB56" s="54">
        <v>105</v>
      </c>
      <c r="BC56" s="54">
        <v>63</v>
      </c>
      <c r="BD56" s="54">
        <v>73</v>
      </c>
      <c r="BE56" s="54">
        <v>70</v>
      </c>
      <c r="BF56" s="54">
        <v>1</v>
      </c>
      <c r="BG56" s="54">
        <v>150</v>
      </c>
      <c r="BH56" s="54">
        <v>50</v>
      </c>
      <c r="BI56" s="54">
        <v>0.5</v>
      </c>
      <c r="BJ56" s="54">
        <v>9</v>
      </c>
      <c r="BK56" s="54">
        <v>80</v>
      </c>
      <c r="BL56" s="54">
        <v>30</v>
      </c>
      <c r="BM56" s="54">
        <v>47</v>
      </c>
      <c r="BN56" s="54">
        <v>1</v>
      </c>
      <c r="BO56" s="54">
        <v>15</v>
      </c>
      <c r="BP56" s="54">
        <v>0.2</v>
      </c>
      <c r="BQ56" s="54">
        <v>1</v>
      </c>
      <c r="BR56" s="54">
        <v>0.69099999999999995</v>
      </c>
      <c r="BS56" s="54">
        <v>3440</v>
      </c>
      <c r="BT56" s="54">
        <v>0</v>
      </c>
      <c r="BU56" s="54">
        <v>0.97</v>
      </c>
      <c r="BV56" s="54">
        <v>0</v>
      </c>
      <c r="BW56" s="54">
        <v>100</v>
      </c>
      <c r="BX56" s="54">
        <v>0</v>
      </c>
      <c r="BY56" s="54">
        <v>2103</v>
      </c>
      <c r="BZ56" s="54">
        <v>2400</v>
      </c>
      <c r="CA56" s="54">
        <v>3000</v>
      </c>
      <c r="CB56" s="54">
        <v>6</v>
      </c>
      <c r="CC56" s="54">
        <v>14</v>
      </c>
      <c r="CD56" s="54">
        <v>7</v>
      </c>
      <c r="CE56" s="54">
        <v>8</v>
      </c>
      <c r="CF56" s="54">
        <v>8</v>
      </c>
      <c r="CG56" s="54">
        <v>7</v>
      </c>
      <c r="CH56" s="54">
        <v>7</v>
      </c>
      <c r="CI56" s="54"/>
      <c r="CJ56" s="54">
        <v>4</v>
      </c>
      <c r="CK56" s="92">
        <v>9.1999999999999993</v>
      </c>
      <c r="CL56" s="54">
        <v>179</v>
      </c>
      <c r="CM56" s="54">
        <v>9.1999999999999993</v>
      </c>
      <c r="CN56" s="54">
        <v>182</v>
      </c>
      <c r="CO56" s="54">
        <v>0</v>
      </c>
      <c r="CP56" s="54">
        <v>1</v>
      </c>
      <c r="CQ56" s="54">
        <v>0</v>
      </c>
      <c r="CR56" s="54">
        <v>0</v>
      </c>
      <c r="CS56" s="54">
        <v>0</v>
      </c>
      <c r="CT56" s="54">
        <v>0</v>
      </c>
      <c r="CU56" s="54">
        <v>1300</v>
      </c>
      <c r="CV56" s="54">
        <f t="shared" si="23"/>
        <v>4503</v>
      </c>
      <c r="CW56" s="261">
        <v>0.68333333333333324</v>
      </c>
      <c r="CX56" s="261">
        <v>0.73958333333333337</v>
      </c>
      <c r="CY56" s="259">
        <f t="shared" si="31"/>
        <v>5.6250000000000133E-2</v>
      </c>
      <c r="CZ56" s="186">
        <f t="shared" si="9"/>
        <v>81.000000000000199</v>
      </c>
      <c r="DA56" s="54">
        <v>150</v>
      </c>
      <c r="DB56" s="54">
        <v>68</v>
      </c>
      <c r="DC56" s="183">
        <f t="shared" si="29"/>
        <v>95.333333333333329</v>
      </c>
      <c r="DD56" s="54">
        <v>90</v>
      </c>
      <c r="DE56" s="54">
        <v>4</v>
      </c>
      <c r="DF56" s="54">
        <v>1</v>
      </c>
      <c r="DG56" s="54">
        <v>1</v>
      </c>
      <c r="DH56" s="54">
        <v>1</v>
      </c>
      <c r="DI56" s="54"/>
      <c r="DJ56" s="54"/>
      <c r="DK56" s="54"/>
      <c r="DL56" s="54"/>
      <c r="DM56" s="54"/>
      <c r="DN56" s="54">
        <v>3</v>
      </c>
      <c r="DO56" s="54">
        <v>3</v>
      </c>
      <c r="DP56" s="54">
        <v>5</v>
      </c>
      <c r="DQ56" s="54">
        <v>5</v>
      </c>
      <c r="DR56" s="54">
        <v>6</v>
      </c>
      <c r="DS56" s="54" t="s">
        <v>263</v>
      </c>
      <c r="DT56" s="54" t="s">
        <v>263</v>
      </c>
      <c r="DU56" s="54">
        <v>1</v>
      </c>
      <c r="DV56" s="54" t="s">
        <v>263</v>
      </c>
      <c r="DW56" s="54" t="s">
        <v>263</v>
      </c>
      <c r="DX56" s="54">
        <v>5</v>
      </c>
      <c r="DY56" s="54">
        <v>10</v>
      </c>
      <c r="DZ56" s="54">
        <v>8.5</v>
      </c>
      <c r="EA56" s="54">
        <v>7.5</v>
      </c>
      <c r="EB56" s="54">
        <v>7.6</v>
      </c>
      <c r="EC56" s="188">
        <v>8.1999999999999993</v>
      </c>
      <c r="ED56" s="54">
        <v>30.9</v>
      </c>
      <c r="EE56" s="54">
        <v>27</v>
      </c>
      <c r="EF56" s="54">
        <v>23.5</v>
      </c>
      <c r="EG56" s="54">
        <v>24.2</v>
      </c>
      <c r="EH56" s="189">
        <v>25.5</v>
      </c>
      <c r="EI56" s="54">
        <v>0.8</v>
      </c>
      <c r="EJ56" s="54">
        <v>0.74</v>
      </c>
      <c r="EK56" s="54">
        <v>0.63</v>
      </c>
      <c r="EL56" s="54">
        <v>0.64</v>
      </c>
      <c r="EM56" s="54">
        <v>0.63</v>
      </c>
      <c r="EN56" s="212"/>
      <c r="EO56" s="54">
        <v>121</v>
      </c>
      <c r="EP56" s="54">
        <v>153</v>
      </c>
      <c r="EQ56" s="195">
        <v>333</v>
      </c>
      <c r="ER56" s="54">
        <v>154</v>
      </c>
      <c r="ES56" s="54">
        <v>128</v>
      </c>
      <c r="ET56" s="54"/>
      <c r="EU56" s="54"/>
      <c r="EV56" s="54"/>
      <c r="EW56" s="54"/>
      <c r="EX56" s="54"/>
      <c r="EY56" s="54"/>
      <c r="EZ56" s="54">
        <v>0</v>
      </c>
      <c r="FA56" s="190">
        <v>41969</v>
      </c>
      <c r="FB56" s="54">
        <f t="shared" si="30"/>
        <v>7</v>
      </c>
      <c r="FC56" s="54"/>
    </row>
    <row r="57" spans="1:165" s="25" customFormat="1" x14ac:dyDescent="0.25">
      <c r="A57" s="92" t="s">
        <v>261</v>
      </c>
      <c r="B57" s="180" t="s">
        <v>265</v>
      </c>
      <c r="C57" s="54" t="s">
        <v>157</v>
      </c>
      <c r="D57" s="54" t="str">
        <f t="shared" si="22"/>
        <v xml:space="preserve">73 Y 1 M </v>
      </c>
      <c r="E57" s="54">
        <v>2</v>
      </c>
      <c r="F57" s="182">
        <v>15283</v>
      </c>
      <c r="G57" s="182">
        <v>41977</v>
      </c>
      <c r="H57" s="183">
        <v>165.1</v>
      </c>
      <c r="I57" s="183">
        <v>75</v>
      </c>
      <c r="J57" s="183">
        <f t="shared" ref="J57:J63" si="32">IF(E57=1,50+2.3*(H57*0.393701-60),IF(E57=2,45.5+2.3*(H57*0.393701-60)))</f>
        <v>57.000080730000008</v>
      </c>
      <c r="K57" s="183">
        <f t="shared" ref="K57:K63" si="33">I57/((H57/100)*(H57/100))</f>
        <v>27.514847929104143</v>
      </c>
      <c r="L57" s="186">
        <v>0</v>
      </c>
      <c r="M57" s="54">
        <v>1</v>
      </c>
      <c r="N57" s="54">
        <v>0</v>
      </c>
      <c r="O57" s="54">
        <v>0</v>
      </c>
      <c r="P57" s="54">
        <v>0</v>
      </c>
      <c r="Q57" s="54">
        <v>1</v>
      </c>
      <c r="R57" s="54">
        <v>6</v>
      </c>
      <c r="S57" s="54">
        <v>10</v>
      </c>
      <c r="T57" s="54">
        <v>0</v>
      </c>
      <c r="U57" s="54">
        <v>0</v>
      </c>
      <c r="V57" s="54">
        <v>0</v>
      </c>
      <c r="W57" s="54">
        <v>1</v>
      </c>
      <c r="X57" s="54">
        <v>1</v>
      </c>
      <c r="Y57" s="183">
        <v>25</v>
      </c>
      <c r="Z57" s="54">
        <v>0</v>
      </c>
      <c r="AA57" s="54">
        <v>0</v>
      </c>
      <c r="AB57" s="54">
        <v>0</v>
      </c>
      <c r="AC57" s="54">
        <v>0</v>
      </c>
      <c r="AD57" s="54">
        <v>0</v>
      </c>
      <c r="AE57" s="54">
        <v>0</v>
      </c>
      <c r="AF57" s="54">
        <v>0</v>
      </c>
      <c r="AG57" s="54">
        <v>0</v>
      </c>
      <c r="AH57" s="54">
        <v>0</v>
      </c>
      <c r="AI57" s="54"/>
      <c r="AJ57" s="54"/>
      <c r="AK57" s="183">
        <v>12</v>
      </c>
      <c r="AL57" s="54">
        <v>35.9</v>
      </c>
      <c r="AM57" s="54">
        <v>0.89</v>
      </c>
      <c r="AN57" s="54" t="s">
        <v>128</v>
      </c>
      <c r="AO57" s="54"/>
      <c r="AP57" s="183">
        <v>164.5</v>
      </c>
      <c r="AQ57" s="183">
        <v>87.5</v>
      </c>
      <c r="AR57" s="183">
        <f t="shared" ref="AR57:AR63" si="34">((AP57-AQ57)*1/3)+AQ57</f>
        <v>113.16666666666667</v>
      </c>
      <c r="AS57" s="183">
        <f t="shared" ref="AS57:AS63" si="35">(AP57*0.2+AP57)</f>
        <v>197.4</v>
      </c>
      <c r="AT57" s="183">
        <f t="shared" ref="AT57:AT63" si="36">(AP57-AP57*0.2)</f>
        <v>131.6</v>
      </c>
      <c r="AU57" s="184">
        <v>0.45347222222222222</v>
      </c>
      <c r="AV57" s="184">
        <v>0.4597222222222222</v>
      </c>
      <c r="AW57" s="185">
        <v>0.69374999999999998</v>
      </c>
      <c r="AX57" s="185">
        <v>0.34375</v>
      </c>
      <c r="AY57" s="54">
        <v>11.1</v>
      </c>
      <c r="AZ57" s="54">
        <v>1</v>
      </c>
      <c r="BA57" s="54">
        <v>1000</v>
      </c>
      <c r="BB57" s="54">
        <v>130</v>
      </c>
      <c r="BC57" s="54">
        <v>80</v>
      </c>
      <c r="BD57" s="54">
        <v>97</v>
      </c>
      <c r="BE57" s="54">
        <v>95</v>
      </c>
      <c r="BF57" s="54">
        <v>1</v>
      </c>
      <c r="BG57" s="54">
        <v>80</v>
      </c>
      <c r="BH57" s="54">
        <v>100</v>
      </c>
      <c r="BI57" s="54">
        <v>0.5</v>
      </c>
      <c r="BJ57" s="54">
        <v>4</v>
      </c>
      <c r="BK57" s="54">
        <v>82</v>
      </c>
      <c r="BL57" s="54">
        <v>43</v>
      </c>
      <c r="BM57" s="54">
        <v>58</v>
      </c>
      <c r="BN57" s="54">
        <v>0</v>
      </c>
      <c r="BO57" s="54">
        <v>62</v>
      </c>
      <c r="BP57" s="54">
        <v>0</v>
      </c>
      <c r="BQ57" s="54">
        <v>1</v>
      </c>
      <c r="BR57" s="54">
        <v>646</v>
      </c>
      <c r="BS57" s="54">
        <v>480</v>
      </c>
      <c r="BT57" s="54">
        <v>10</v>
      </c>
      <c r="BU57" s="54">
        <v>0</v>
      </c>
      <c r="BV57" s="54">
        <v>0</v>
      </c>
      <c r="BW57" s="54">
        <v>150</v>
      </c>
      <c r="BX57" s="54">
        <v>0</v>
      </c>
      <c r="BY57" s="54">
        <v>1600</v>
      </c>
      <c r="BZ57" s="54">
        <v>3200</v>
      </c>
      <c r="CA57" s="54">
        <v>1000</v>
      </c>
      <c r="CB57" s="54">
        <v>13</v>
      </c>
      <c r="CC57" s="54">
        <v>6</v>
      </c>
      <c r="CD57" s="54">
        <v>19</v>
      </c>
      <c r="CE57" s="54">
        <v>9</v>
      </c>
      <c r="CF57" s="54"/>
      <c r="CG57" s="54"/>
      <c r="CH57" s="54"/>
      <c r="CI57" s="54"/>
      <c r="CJ57" s="54">
        <v>2</v>
      </c>
      <c r="CK57" s="54">
        <v>10.9</v>
      </c>
      <c r="CL57" s="54">
        <v>274</v>
      </c>
      <c r="CM57" s="54">
        <v>9.5</v>
      </c>
      <c r="CN57" s="54">
        <v>274</v>
      </c>
      <c r="CO57" s="54">
        <v>0</v>
      </c>
      <c r="CP57" s="54">
        <v>1</v>
      </c>
      <c r="CQ57" s="54">
        <v>0</v>
      </c>
      <c r="CR57" s="54">
        <v>0</v>
      </c>
      <c r="CS57" s="54">
        <v>0</v>
      </c>
      <c r="CT57" s="54">
        <v>0</v>
      </c>
      <c r="CU57" s="54">
        <v>400</v>
      </c>
      <c r="CV57" s="54">
        <f t="shared" ref="CV57:CV64" si="37">SUM(BY57:BZ57)</f>
        <v>4800</v>
      </c>
      <c r="CW57" s="259">
        <v>0.68611111111111101</v>
      </c>
      <c r="CX57" s="259">
        <v>0.72569444444444453</v>
      </c>
      <c r="CY57" s="259">
        <f t="shared" si="31"/>
        <v>3.9583333333333526E-2</v>
      </c>
      <c r="CZ57" s="186">
        <f t="shared" si="9"/>
        <v>57.000000000000277</v>
      </c>
      <c r="DA57" s="54">
        <v>128</v>
      </c>
      <c r="DB57" s="54">
        <v>49</v>
      </c>
      <c r="DC57" s="183">
        <f t="shared" ref="DC57:DC62" si="38">((DA57-DB57)*1/3)+DB57</f>
        <v>75.333333333333329</v>
      </c>
      <c r="DD57" s="54">
        <v>91</v>
      </c>
      <c r="DE57" s="54">
        <v>2</v>
      </c>
      <c r="DF57" s="54">
        <v>1</v>
      </c>
      <c r="DG57" s="54">
        <v>1</v>
      </c>
      <c r="DH57" s="54">
        <v>1</v>
      </c>
      <c r="DI57" s="54"/>
      <c r="DJ57" s="54"/>
      <c r="DK57" s="54"/>
      <c r="DL57" s="54"/>
      <c r="DM57" s="54"/>
      <c r="DN57" s="54">
        <v>3</v>
      </c>
      <c r="DO57" s="54">
        <v>3</v>
      </c>
      <c r="DP57" s="54">
        <v>4</v>
      </c>
      <c r="DQ57" s="54">
        <v>5</v>
      </c>
      <c r="DR57" s="54">
        <v>4</v>
      </c>
      <c r="DS57" s="54">
        <v>4</v>
      </c>
      <c r="DT57" s="54">
        <v>5</v>
      </c>
      <c r="DU57" s="54">
        <v>0</v>
      </c>
      <c r="DV57" s="54">
        <v>3</v>
      </c>
      <c r="DW57" s="54">
        <v>7</v>
      </c>
      <c r="DX57" s="54">
        <v>3</v>
      </c>
      <c r="DY57" s="54">
        <v>9.4</v>
      </c>
      <c r="DZ57" s="54">
        <v>9.3000000000000007</v>
      </c>
      <c r="EA57" s="54">
        <v>9.1</v>
      </c>
      <c r="EB57" s="54">
        <v>9.9</v>
      </c>
      <c r="EC57" s="188">
        <v>10.1</v>
      </c>
      <c r="ED57" s="54">
        <v>28.3</v>
      </c>
      <c r="EE57" s="54">
        <v>28.3</v>
      </c>
      <c r="EF57" s="54">
        <v>27.3</v>
      </c>
      <c r="EG57" s="54">
        <v>29.7</v>
      </c>
      <c r="EH57" s="54">
        <v>30</v>
      </c>
      <c r="EI57" s="54">
        <v>0.73</v>
      </c>
      <c r="EJ57" s="54">
        <v>0.66</v>
      </c>
      <c r="EK57" s="54">
        <v>0.64</v>
      </c>
      <c r="EL57" s="54">
        <v>0.61</v>
      </c>
      <c r="EM57" s="54">
        <v>0.7</v>
      </c>
      <c r="EN57" s="54">
        <v>170</v>
      </c>
      <c r="EO57" s="54">
        <v>231</v>
      </c>
      <c r="EP57" s="54">
        <v>218</v>
      </c>
      <c r="EQ57" s="54">
        <v>222</v>
      </c>
      <c r="ER57" s="54">
        <v>181</v>
      </c>
      <c r="ES57" s="54">
        <v>177</v>
      </c>
      <c r="ET57" s="54"/>
      <c r="EU57" s="54"/>
      <c r="EV57" s="54"/>
      <c r="EW57" s="54"/>
      <c r="EX57" s="54"/>
      <c r="EY57" s="54"/>
      <c r="EZ57" s="54">
        <v>0</v>
      </c>
      <c r="FA57" s="190">
        <v>41983</v>
      </c>
      <c r="FB57" s="54">
        <f t="shared" si="30"/>
        <v>6</v>
      </c>
      <c r="FC57" s="54"/>
    </row>
    <row r="58" spans="1:165" s="25" customFormat="1" x14ac:dyDescent="0.25">
      <c r="A58" s="92" t="s">
        <v>338</v>
      </c>
      <c r="B58" s="180" t="s">
        <v>350</v>
      </c>
      <c r="C58" s="54" t="s">
        <v>157</v>
      </c>
      <c r="D58" s="54" t="str">
        <f t="shared" si="22"/>
        <v xml:space="preserve">53 Y </v>
      </c>
      <c r="E58" s="54">
        <v>1</v>
      </c>
      <c r="F58" s="182">
        <v>22635</v>
      </c>
      <c r="G58" s="182">
        <v>42006</v>
      </c>
      <c r="H58" s="183">
        <v>184.2</v>
      </c>
      <c r="I58" s="183">
        <v>89</v>
      </c>
      <c r="J58" s="183">
        <f t="shared" si="32"/>
        <v>78.795365659999987</v>
      </c>
      <c r="K58" s="183">
        <f t="shared" si="33"/>
        <v>26.230752816711291</v>
      </c>
      <c r="L58" s="186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54">
        <v>0</v>
      </c>
      <c r="S58" s="54">
        <v>0</v>
      </c>
      <c r="T58" s="54">
        <v>0</v>
      </c>
      <c r="U58" s="54">
        <v>0</v>
      </c>
      <c r="V58" s="54">
        <v>0</v>
      </c>
      <c r="W58" s="54">
        <v>0</v>
      </c>
      <c r="X58" s="54">
        <v>0</v>
      </c>
      <c r="Y58" s="54">
        <v>0</v>
      </c>
      <c r="Z58" s="54">
        <v>0</v>
      </c>
      <c r="AA58" s="54">
        <v>0</v>
      </c>
      <c r="AB58" s="54">
        <v>0</v>
      </c>
      <c r="AC58" s="54">
        <v>0</v>
      </c>
      <c r="AD58" s="54">
        <v>0</v>
      </c>
      <c r="AE58" s="54">
        <v>0</v>
      </c>
      <c r="AF58" s="54">
        <v>0</v>
      </c>
      <c r="AG58" s="54">
        <v>0</v>
      </c>
      <c r="AH58" s="54">
        <v>0</v>
      </c>
      <c r="AI58" s="54"/>
      <c r="AJ58" s="54"/>
      <c r="AK58" s="183">
        <v>12.3</v>
      </c>
      <c r="AL58" s="54">
        <v>37</v>
      </c>
      <c r="AM58" s="54">
        <v>0.67</v>
      </c>
      <c r="AN58" s="54" t="s">
        <v>128</v>
      </c>
      <c r="AO58" s="54"/>
      <c r="AP58" s="183">
        <v>136.5</v>
      </c>
      <c r="AQ58" s="183">
        <v>87</v>
      </c>
      <c r="AR58" s="183">
        <f t="shared" si="34"/>
        <v>103.5</v>
      </c>
      <c r="AS58" s="183">
        <f t="shared" si="35"/>
        <v>163.80000000000001</v>
      </c>
      <c r="AT58" s="183">
        <f t="shared" si="36"/>
        <v>109.2</v>
      </c>
      <c r="AU58" s="184">
        <v>0.32708333333333334</v>
      </c>
      <c r="AV58" s="184">
        <v>0.33055555555555555</v>
      </c>
      <c r="AW58" s="185">
        <v>0.59583333333333333</v>
      </c>
      <c r="AX58" s="185">
        <v>0.23611111111111113</v>
      </c>
      <c r="AY58" s="54">
        <v>8</v>
      </c>
      <c r="AZ58" s="54">
        <v>1</v>
      </c>
      <c r="BA58" s="54">
        <v>1000</v>
      </c>
      <c r="BB58" s="47">
        <v>133</v>
      </c>
      <c r="BC58" s="47">
        <v>68</v>
      </c>
      <c r="BD58" s="47">
        <v>90</v>
      </c>
      <c r="BE58" s="47">
        <v>83</v>
      </c>
      <c r="BF58" s="47">
        <v>1</v>
      </c>
      <c r="BG58" s="47">
        <v>100</v>
      </c>
      <c r="BH58" s="47">
        <v>250</v>
      </c>
      <c r="BI58" s="47">
        <v>0.6</v>
      </c>
      <c r="BJ58" s="47">
        <v>4</v>
      </c>
      <c r="BK58" s="47">
        <v>74</v>
      </c>
      <c r="BL58" s="47">
        <v>42</v>
      </c>
      <c r="BM58" s="47">
        <v>51</v>
      </c>
      <c r="BN58" s="47">
        <v>1</v>
      </c>
      <c r="BO58" s="47">
        <v>74</v>
      </c>
      <c r="BP58" s="47">
        <v>0</v>
      </c>
      <c r="BQ58" s="47">
        <v>1</v>
      </c>
      <c r="BR58" s="47">
        <v>1062</v>
      </c>
      <c r="BS58" s="47">
        <v>3680</v>
      </c>
      <c r="BT58" s="47">
        <v>0</v>
      </c>
      <c r="BU58" s="47">
        <v>0</v>
      </c>
      <c r="BV58" s="47">
        <v>0</v>
      </c>
      <c r="BW58" s="47">
        <v>250</v>
      </c>
      <c r="BX58" s="47">
        <v>0</v>
      </c>
      <c r="BY58" s="47">
        <v>2440</v>
      </c>
      <c r="BZ58" s="47">
        <v>3700</v>
      </c>
      <c r="CA58" s="47">
        <v>1000</v>
      </c>
      <c r="CB58" s="47">
        <v>5</v>
      </c>
      <c r="CC58" s="47">
        <v>4</v>
      </c>
      <c r="CD58" s="47">
        <v>6</v>
      </c>
      <c r="CE58" s="47">
        <v>3</v>
      </c>
      <c r="CF58" s="47">
        <v>4</v>
      </c>
      <c r="CG58" s="47"/>
      <c r="CH58" s="47"/>
      <c r="CI58" s="47"/>
      <c r="CJ58" s="47">
        <v>3</v>
      </c>
      <c r="CK58" s="47">
        <v>12.4</v>
      </c>
      <c r="CL58" s="47">
        <v>118</v>
      </c>
      <c r="CM58" s="47">
        <v>12</v>
      </c>
      <c r="CN58" s="47">
        <v>122</v>
      </c>
      <c r="CO58" s="47">
        <v>0</v>
      </c>
      <c r="CP58" s="47">
        <v>1</v>
      </c>
      <c r="CQ58" s="47">
        <v>0</v>
      </c>
      <c r="CR58" s="47">
        <v>0</v>
      </c>
      <c r="CS58" s="47">
        <v>0</v>
      </c>
      <c r="CT58" s="47">
        <v>0</v>
      </c>
      <c r="CU58" s="54">
        <v>600</v>
      </c>
      <c r="CV58" s="54">
        <f t="shared" si="37"/>
        <v>6140</v>
      </c>
      <c r="CW58" s="259">
        <v>0.58958333333333335</v>
      </c>
      <c r="CX58" s="259">
        <v>0.63472222222222219</v>
      </c>
      <c r="CY58" s="259">
        <f t="shared" si="31"/>
        <v>4.513888888888884E-2</v>
      </c>
      <c r="CZ58" s="186">
        <f t="shared" si="9"/>
        <v>64.999999999999929</v>
      </c>
      <c r="DA58" s="54">
        <v>115</v>
      </c>
      <c r="DB58" s="54">
        <v>54</v>
      </c>
      <c r="DC58" s="183">
        <f t="shared" si="38"/>
        <v>74.333333333333329</v>
      </c>
      <c r="DD58" s="54">
        <v>111</v>
      </c>
      <c r="DE58" s="54">
        <v>2</v>
      </c>
      <c r="DF58" s="54">
        <v>2</v>
      </c>
      <c r="DG58" s="54">
        <v>1</v>
      </c>
      <c r="DH58" s="54">
        <v>1</v>
      </c>
      <c r="DI58" s="54"/>
      <c r="DJ58" s="54"/>
      <c r="DK58" s="54"/>
      <c r="DL58" s="54"/>
      <c r="DM58" s="54"/>
      <c r="DN58" s="54">
        <v>4</v>
      </c>
      <c r="DO58" s="54">
        <v>3</v>
      </c>
      <c r="DP58" s="54">
        <v>5</v>
      </c>
      <c r="DQ58" s="54">
        <v>5</v>
      </c>
      <c r="DR58" s="54">
        <v>0</v>
      </c>
      <c r="DS58" s="54" t="s">
        <v>263</v>
      </c>
      <c r="DT58" s="54">
        <v>5</v>
      </c>
      <c r="DU58" s="54">
        <v>5</v>
      </c>
      <c r="DV58" s="54">
        <v>3</v>
      </c>
      <c r="DW58" s="54">
        <v>3</v>
      </c>
      <c r="DX58" s="54">
        <v>7</v>
      </c>
      <c r="DY58" s="54">
        <v>11.2</v>
      </c>
      <c r="DZ58" s="54">
        <v>11.2</v>
      </c>
      <c r="EA58" s="54">
        <v>10.8</v>
      </c>
      <c r="EB58" s="54">
        <v>10.199999999999999</v>
      </c>
      <c r="EC58" s="188">
        <v>10.4</v>
      </c>
      <c r="ED58" s="54">
        <v>33.1</v>
      </c>
      <c r="EE58" s="54">
        <v>33.299999999999997</v>
      </c>
      <c r="EF58" s="54">
        <v>31.9</v>
      </c>
      <c r="EG58" s="54">
        <v>29.5</v>
      </c>
      <c r="EH58" s="54">
        <v>30.6</v>
      </c>
      <c r="EI58" s="54">
        <v>0.8</v>
      </c>
      <c r="EJ58" s="54">
        <v>0.82</v>
      </c>
      <c r="EK58" s="54">
        <v>0.83</v>
      </c>
      <c r="EL58" s="54">
        <v>0.8</v>
      </c>
      <c r="EM58" s="54">
        <v>0.78</v>
      </c>
      <c r="EN58" s="54">
        <v>135</v>
      </c>
      <c r="EO58" s="54">
        <v>142</v>
      </c>
      <c r="EP58" s="54">
        <v>96</v>
      </c>
      <c r="EQ58" s="54">
        <v>80</v>
      </c>
      <c r="ER58" s="54">
        <v>101</v>
      </c>
      <c r="ES58" s="54">
        <v>95</v>
      </c>
      <c r="ET58" s="54"/>
      <c r="EU58" s="54"/>
      <c r="EV58" s="54"/>
      <c r="EW58" s="54"/>
      <c r="EX58" s="54"/>
      <c r="EY58" s="54"/>
      <c r="EZ58" s="54">
        <v>0</v>
      </c>
      <c r="FA58" s="190">
        <v>42012</v>
      </c>
      <c r="FB58" s="54">
        <f t="shared" si="30"/>
        <v>6</v>
      </c>
      <c r="FC58" s="54"/>
    </row>
    <row r="59" spans="1:165" s="129" customFormat="1" x14ac:dyDescent="0.25">
      <c r="A59" s="211" t="s">
        <v>346</v>
      </c>
      <c r="B59" s="135" t="s">
        <v>348</v>
      </c>
      <c r="C59" s="129" t="s">
        <v>157</v>
      </c>
      <c r="D59" s="129" t="str">
        <f t="shared" si="22"/>
        <v xml:space="preserve">75 Y 7 M </v>
      </c>
      <c r="E59" s="129">
        <v>1</v>
      </c>
      <c r="F59" s="133">
        <v>14406</v>
      </c>
      <c r="G59" s="133">
        <v>42027</v>
      </c>
      <c r="H59" s="130">
        <v>169.2</v>
      </c>
      <c r="I59" s="130">
        <v>68.400000000000006</v>
      </c>
      <c r="J59" s="130">
        <f t="shared" si="32"/>
        <v>65.212681160000017</v>
      </c>
      <c r="K59" s="130">
        <f t="shared" si="33"/>
        <v>23.892158342135712</v>
      </c>
      <c r="L59" s="129">
        <v>2</v>
      </c>
      <c r="M59" s="129">
        <v>1</v>
      </c>
      <c r="N59" s="129">
        <v>1</v>
      </c>
      <c r="O59" s="129">
        <v>0</v>
      </c>
      <c r="P59" s="129">
        <v>0</v>
      </c>
      <c r="Q59" s="129">
        <v>0</v>
      </c>
      <c r="R59" s="129">
        <v>0</v>
      </c>
      <c r="S59" s="129">
        <v>0</v>
      </c>
      <c r="T59" s="129">
        <v>1</v>
      </c>
      <c r="U59" s="129">
        <v>3</v>
      </c>
      <c r="V59" s="129">
        <v>160</v>
      </c>
      <c r="W59" s="129">
        <v>0</v>
      </c>
      <c r="X59" s="129">
        <v>0</v>
      </c>
      <c r="Y59" s="129">
        <v>0</v>
      </c>
      <c r="Z59" s="129">
        <v>0</v>
      </c>
      <c r="AA59" s="129">
        <v>0</v>
      </c>
      <c r="AB59" s="129">
        <v>0</v>
      </c>
      <c r="AC59" s="129">
        <v>0</v>
      </c>
      <c r="AD59" s="129">
        <v>0</v>
      </c>
      <c r="AE59" s="129">
        <v>0</v>
      </c>
      <c r="AF59" s="129">
        <v>1</v>
      </c>
      <c r="AG59" s="129">
        <v>1</v>
      </c>
      <c r="AH59" s="129">
        <v>12.5</v>
      </c>
      <c r="AK59" s="129">
        <v>13.2</v>
      </c>
      <c r="AL59" s="129">
        <v>40.700000000000003</v>
      </c>
      <c r="AM59" s="129">
        <v>1.25</v>
      </c>
      <c r="AN59" s="129">
        <v>56</v>
      </c>
      <c r="AP59" s="129">
        <v>129</v>
      </c>
      <c r="AQ59" s="129">
        <v>91</v>
      </c>
      <c r="AR59" s="183">
        <f t="shared" si="34"/>
        <v>103.66666666666667</v>
      </c>
      <c r="AS59" s="183">
        <f t="shared" si="35"/>
        <v>154.80000000000001</v>
      </c>
      <c r="AT59" s="183">
        <f t="shared" si="36"/>
        <v>103.2</v>
      </c>
      <c r="AU59" s="131">
        <v>0.31458333333333333</v>
      </c>
      <c r="AV59" s="131">
        <v>0.33333333333333331</v>
      </c>
      <c r="AW59" s="131">
        <v>0.57777777777777783</v>
      </c>
      <c r="AX59" s="131">
        <v>0.24652777777777779</v>
      </c>
      <c r="AY59" s="129">
        <v>8.1</v>
      </c>
      <c r="AZ59" s="129">
        <v>1</v>
      </c>
      <c r="BA59" s="129">
        <v>1000</v>
      </c>
      <c r="BC59" s="47">
        <v>120</v>
      </c>
      <c r="BD59" s="47">
        <v>66</v>
      </c>
      <c r="BE59" s="47">
        <v>86</v>
      </c>
      <c r="BF59" s="47">
        <v>76</v>
      </c>
      <c r="BG59" s="47">
        <v>1</v>
      </c>
      <c r="BH59" s="47">
        <v>100</v>
      </c>
      <c r="BI59" s="47">
        <v>75</v>
      </c>
      <c r="BJ59" s="47">
        <v>0.4</v>
      </c>
      <c r="BK59" s="47">
        <v>4</v>
      </c>
      <c r="BL59" s="47">
        <v>63</v>
      </c>
      <c r="BM59" s="47">
        <v>35</v>
      </c>
      <c r="BN59" s="47">
        <v>42</v>
      </c>
      <c r="BO59" s="47">
        <v>1</v>
      </c>
      <c r="BP59" s="47">
        <v>0</v>
      </c>
      <c r="BQ59" s="47">
        <v>1</v>
      </c>
      <c r="BR59" s="47">
        <v>1.786</v>
      </c>
      <c r="BS59" s="47">
        <v>1600</v>
      </c>
      <c r="BT59" s="47">
        <v>0</v>
      </c>
      <c r="BU59" s="47">
        <v>0</v>
      </c>
      <c r="BV59" s="47">
        <v>0</v>
      </c>
      <c r="BW59" s="47">
        <v>150</v>
      </c>
      <c r="BX59" s="47">
        <v>0</v>
      </c>
      <c r="BY59" s="47">
        <v>1500</v>
      </c>
      <c r="BZ59" s="47">
        <v>3200</v>
      </c>
      <c r="CA59" s="47">
        <v>500</v>
      </c>
      <c r="CB59" s="47">
        <v>5</v>
      </c>
      <c r="CC59" s="47">
        <v>4</v>
      </c>
      <c r="CD59" s="47">
        <v>5</v>
      </c>
      <c r="CE59" s="47">
        <v>4</v>
      </c>
      <c r="CF59" s="47"/>
      <c r="CG59" s="47"/>
      <c r="CH59" s="47"/>
      <c r="CI59" s="47"/>
      <c r="CJ59" s="47">
        <v>4</v>
      </c>
      <c r="CK59" s="47">
        <v>10.8</v>
      </c>
      <c r="CL59" s="47">
        <v>134</v>
      </c>
      <c r="CM59" s="47">
        <v>10.3</v>
      </c>
      <c r="CN59" s="47">
        <v>183</v>
      </c>
      <c r="CO59" s="47" t="s">
        <v>248</v>
      </c>
      <c r="CP59" s="47" t="s">
        <v>248</v>
      </c>
      <c r="CQ59" s="47">
        <v>0</v>
      </c>
      <c r="CR59" s="47">
        <v>0</v>
      </c>
      <c r="CS59" s="47">
        <v>0</v>
      </c>
      <c r="CT59" s="47">
        <v>0</v>
      </c>
      <c r="CU59" s="129">
        <v>300</v>
      </c>
      <c r="CV59" s="54">
        <f t="shared" si="37"/>
        <v>4700</v>
      </c>
      <c r="CW59" s="250">
        <v>0.56944444444444442</v>
      </c>
      <c r="CX59" s="250">
        <v>0.625</v>
      </c>
      <c r="CY59" s="259">
        <f t="shared" si="31"/>
        <v>5.555555555555558E-2</v>
      </c>
      <c r="CZ59" s="186">
        <f t="shared" si="9"/>
        <v>80.000000000000028</v>
      </c>
      <c r="DA59" s="129">
        <v>110</v>
      </c>
      <c r="DB59" s="129">
        <v>52</v>
      </c>
      <c r="DC59" s="132">
        <f t="shared" si="38"/>
        <v>71.333333333333329</v>
      </c>
      <c r="DD59" s="129">
        <v>93</v>
      </c>
      <c r="DE59" s="129">
        <v>4</v>
      </c>
      <c r="DF59" s="129">
        <v>1</v>
      </c>
      <c r="DG59" s="129">
        <v>1</v>
      </c>
      <c r="DN59" s="129">
        <v>5</v>
      </c>
      <c r="DO59" s="129">
        <v>3</v>
      </c>
      <c r="DP59" s="129">
        <v>5</v>
      </c>
      <c r="DQ59" s="129">
        <v>3</v>
      </c>
      <c r="DR59" s="129">
        <v>8</v>
      </c>
      <c r="DS59" s="129" t="s">
        <v>263</v>
      </c>
      <c r="DT59" s="129">
        <v>7</v>
      </c>
      <c r="DU59" s="129">
        <v>7</v>
      </c>
      <c r="DV59" s="129">
        <v>7</v>
      </c>
      <c r="DW59" s="129">
        <v>4</v>
      </c>
      <c r="DX59" s="129">
        <v>4</v>
      </c>
      <c r="DY59" s="129">
        <v>11.2</v>
      </c>
      <c r="DZ59" s="129">
        <v>11</v>
      </c>
      <c r="EA59" s="129">
        <v>10.4</v>
      </c>
      <c r="EB59" s="129">
        <v>11.2</v>
      </c>
      <c r="EC59" s="129">
        <v>10.199999999999999</v>
      </c>
      <c r="ED59" s="129">
        <v>35.299999999999997</v>
      </c>
      <c r="EE59" s="129">
        <v>34.1</v>
      </c>
      <c r="EF59" s="129">
        <v>31.2</v>
      </c>
      <c r="EG59" s="129">
        <v>33.200000000000003</v>
      </c>
      <c r="EH59" s="129">
        <v>30.8</v>
      </c>
      <c r="EI59" s="129">
        <v>1.03</v>
      </c>
      <c r="EJ59" s="129">
        <v>1.02</v>
      </c>
      <c r="EK59" s="129">
        <v>0.95</v>
      </c>
      <c r="EL59" s="129">
        <v>0.88</v>
      </c>
      <c r="EM59" s="129">
        <v>1</v>
      </c>
      <c r="EN59" s="129">
        <v>165</v>
      </c>
      <c r="EO59" s="129">
        <v>148</v>
      </c>
      <c r="EP59" s="129">
        <v>165</v>
      </c>
      <c r="EQ59" s="129">
        <v>183</v>
      </c>
      <c r="ER59" s="129">
        <v>197</v>
      </c>
      <c r="ES59" s="129">
        <v>166</v>
      </c>
      <c r="EZ59" s="129">
        <v>0</v>
      </c>
      <c r="FA59" s="133">
        <v>42036</v>
      </c>
      <c r="FB59" s="129">
        <f t="shared" si="30"/>
        <v>9</v>
      </c>
    </row>
    <row r="60" spans="1:165" s="129" customFormat="1" x14ac:dyDescent="0.25">
      <c r="A60" s="45" t="s">
        <v>345</v>
      </c>
      <c r="B60" s="135" t="s">
        <v>349</v>
      </c>
      <c r="C60" s="129" t="s">
        <v>157</v>
      </c>
      <c r="D60" s="129" t="str">
        <f t="shared" si="22"/>
        <v xml:space="preserve">46 Y 4 M </v>
      </c>
      <c r="E60" s="129">
        <v>2</v>
      </c>
      <c r="F60" s="133">
        <v>25098</v>
      </c>
      <c r="G60" s="133">
        <v>42033</v>
      </c>
      <c r="H60" s="130">
        <v>162.6</v>
      </c>
      <c r="I60" s="130">
        <v>99.5</v>
      </c>
      <c r="J60" s="130">
        <f t="shared" si="32"/>
        <v>54.73629998000002</v>
      </c>
      <c r="K60" s="130">
        <f t="shared" si="33"/>
        <v>37.634140179040173</v>
      </c>
      <c r="L60" s="129">
        <v>1</v>
      </c>
      <c r="M60" s="129">
        <v>1</v>
      </c>
      <c r="N60" s="129">
        <v>0</v>
      </c>
      <c r="O60" s="129">
        <v>0</v>
      </c>
      <c r="P60" s="129">
        <v>0</v>
      </c>
      <c r="Q60" s="129">
        <v>0</v>
      </c>
      <c r="R60" s="129">
        <v>0</v>
      </c>
      <c r="S60" s="129">
        <v>0</v>
      </c>
      <c r="T60" s="129">
        <v>0</v>
      </c>
      <c r="U60" s="129">
        <v>0</v>
      </c>
      <c r="V60" s="129">
        <v>0</v>
      </c>
      <c r="W60" s="129">
        <v>1</v>
      </c>
      <c r="X60" s="129">
        <v>2</v>
      </c>
      <c r="Y60" s="129">
        <v>50</v>
      </c>
      <c r="Z60" s="129">
        <v>0</v>
      </c>
      <c r="AA60" s="129">
        <v>0</v>
      </c>
      <c r="AB60" s="129">
        <v>0</v>
      </c>
      <c r="AC60" s="129">
        <v>0</v>
      </c>
      <c r="AD60" s="129">
        <v>0</v>
      </c>
      <c r="AE60" s="129">
        <v>0</v>
      </c>
      <c r="AF60" s="129">
        <v>1</v>
      </c>
      <c r="AG60" s="129" t="s">
        <v>352</v>
      </c>
      <c r="AH60" s="129">
        <v>12.5</v>
      </c>
      <c r="AK60" s="129">
        <v>13.4</v>
      </c>
      <c r="AL60" s="129">
        <v>38.299999999999997</v>
      </c>
      <c r="AM60" s="129">
        <v>0.54</v>
      </c>
      <c r="AN60" s="129" t="s">
        <v>128</v>
      </c>
      <c r="AP60" s="129">
        <v>149.5</v>
      </c>
      <c r="AQ60" s="129">
        <v>103.5</v>
      </c>
      <c r="AR60" s="183">
        <f t="shared" si="34"/>
        <v>118.83333333333333</v>
      </c>
      <c r="AS60" s="183">
        <f t="shared" si="35"/>
        <v>179.4</v>
      </c>
      <c r="AT60" s="183">
        <f t="shared" si="36"/>
        <v>119.6</v>
      </c>
      <c r="AU60" s="131">
        <v>0.31458333333333333</v>
      </c>
      <c r="AV60" s="131">
        <v>0.31875000000000003</v>
      </c>
      <c r="AW60" s="131">
        <v>0.6069444444444444</v>
      </c>
      <c r="AX60" s="131">
        <v>0.20833333333333334</v>
      </c>
      <c r="AY60" s="129">
        <v>8.1</v>
      </c>
      <c r="AZ60" s="129">
        <v>1</v>
      </c>
      <c r="BA60" s="129">
        <v>1000</v>
      </c>
      <c r="BB60" s="47">
        <v>129</v>
      </c>
      <c r="BC60" s="47">
        <v>105</v>
      </c>
      <c r="BD60" s="47">
        <v>112</v>
      </c>
      <c r="BE60" s="47">
        <v>64</v>
      </c>
      <c r="BF60" s="47">
        <v>1</v>
      </c>
      <c r="BG60" s="47">
        <v>100</v>
      </c>
      <c r="BH60" s="47">
        <v>50</v>
      </c>
      <c r="BI60" s="47">
        <v>0.5</v>
      </c>
      <c r="BJ60" s="47">
        <v>9</v>
      </c>
      <c r="BK60" s="47">
        <v>104</v>
      </c>
      <c r="BL60" s="47">
        <v>42</v>
      </c>
      <c r="BM60" s="47">
        <v>61</v>
      </c>
      <c r="BN60" s="47"/>
      <c r="BO60" s="47">
        <v>3</v>
      </c>
      <c r="BP60" s="47">
        <v>0.4</v>
      </c>
      <c r="BQ60" s="47">
        <v>1</v>
      </c>
      <c r="BR60" s="47">
        <v>312</v>
      </c>
      <c r="BS60" s="47">
        <v>80</v>
      </c>
      <c r="BT60" s="47">
        <v>25</v>
      </c>
      <c r="BU60" s="47">
        <v>0</v>
      </c>
      <c r="BV60" s="47">
        <v>0</v>
      </c>
      <c r="BW60" s="47">
        <v>100</v>
      </c>
      <c r="BX60" s="47">
        <v>0</v>
      </c>
      <c r="BY60" s="47">
        <v>1625</v>
      </c>
      <c r="BZ60" s="47">
        <v>2100</v>
      </c>
      <c r="CA60" s="47">
        <v>500</v>
      </c>
      <c r="CB60" s="47">
        <v>5</v>
      </c>
      <c r="CC60" s="47">
        <v>14</v>
      </c>
      <c r="CD60" s="47">
        <v>13</v>
      </c>
      <c r="CE60" s="47">
        <v>16</v>
      </c>
      <c r="CF60" s="47">
        <v>13</v>
      </c>
      <c r="CG60" s="47"/>
      <c r="CH60" s="47"/>
      <c r="CI60" s="47"/>
      <c r="CJ60" s="47">
        <v>13</v>
      </c>
      <c r="CK60" s="47">
        <v>11.5</v>
      </c>
      <c r="CL60" s="47">
        <v>116</v>
      </c>
      <c r="CM60" s="47">
        <v>10.6</v>
      </c>
      <c r="CN60" s="47">
        <v>156</v>
      </c>
      <c r="CO60" s="47">
        <v>0</v>
      </c>
      <c r="CP60" s="47">
        <v>1</v>
      </c>
      <c r="CQ60" s="47">
        <v>5</v>
      </c>
      <c r="CR60" s="47">
        <v>75</v>
      </c>
      <c r="CS60" s="47">
        <v>0</v>
      </c>
      <c r="CT60" s="47">
        <v>0</v>
      </c>
      <c r="CU60" s="129">
        <v>700</v>
      </c>
      <c r="CV60" s="54">
        <f t="shared" si="37"/>
        <v>3725</v>
      </c>
      <c r="CW60" s="250">
        <v>0.59583333333333333</v>
      </c>
      <c r="CX60" s="250">
        <v>0.63888888888888895</v>
      </c>
      <c r="CY60" s="259">
        <f t="shared" si="31"/>
        <v>4.3055555555555625E-2</v>
      </c>
      <c r="CZ60" s="186">
        <f t="shared" si="9"/>
        <v>62.000000000000099</v>
      </c>
      <c r="DA60" s="129">
        <v>110</v>
      </c>
      <c r="DB60" s="129">
        <v>57</v>
      </c>
      <c r="DC60" s="132">
        <f t="shared" si="38"/>
        <v>74.666666666666671</v>
      </c>
      <c r="DD60" s="129">
        <v>53</v>
      </c>
      <c r="DE60" s="129">
        <v>3</v>
      </c>
      <c r="DF60" s="129">
        <v>1</v>
      </c>
      <c r="DG60" s="129">
        <v>1</v>
      </c>
      <c r="DH60" s="129">
        <v>1</v>
      </c>
      <c r="DN60" s="129">
        <v>5</v>
      </c>
      <c r="DO60" s="129">
        <v>3</v>
      </c>
      <c r="DP60" s="129">
        <v>5</v>
      </c>
      <c r="DQ60" s="129">
        <v>5</v>
      </c>
      <c r="DR60" s="129">
        <v>5</v>
      </c>
      <c r="DS60" s="129" t="s">
        <v>263</v>
      </c>
      <c r="DT60" s="129" t="s">
        <v>263</v>
      </c>
      <c r="DU60" s="129" t="s">
        <v>263</v>
      </c>
      <c r="DV60" s="129" t="s">
        <v>263</v>
      </c>
      <c r="DW60" s="129" t="s">
        <v>263</v>
      </c>
      <c r="DX60" s="129" t="s">
        <v>263</v>
      </c>
      <c r="DY60" s="129">
        <v>11.4</v>
      </c>
      <c r="DZ60" s="129">
        <v>9.8000000000000007</v>
      </c>
      <c r="EA60" s="129">
        <v>8.3000000000000007</v>
      </c>
      <c r="EB60" s="129">
        <v>8.3000000000000007</v>
      </c>
      <c r="EC60" s="129">
        <v>8.6999999999999993</v>
      </c>
      <c r="ED60" s="129">
        <v>31.7</v>
      </c>
      <c r="EE60" s="129">
        <v>28.1</v>
      </c>
      <c r="EF60" s="129">
        <v>25.3</v>
      </c>
      <c r="EG60" s="129">
        <v>23.4</v>
      </c>
      <c r="EH60" s="129">
        <v>24.6</v>
      </c>
      <c r="EI60" s="129">
        <v>0.68</v>
      </c>
      <c r="EJ60" s="129">
        <v>0.65</v>
      </c>
      <c r="EK60" s="129">
        <v>0.72</v>
      </c>
      <c r="EL60" s="129">
        <v>0.57999999999999996</v>
      </c>
      <c r="EM60" s="129">
        <v>0.54</v>
      </c>
      <c r="EN60" s="129">
        <v>146</v>
      </c>
      <c r="EO60" s="129">
        <v>127</v>
      </c>
      <c r="EP60" s="129">
        <v>124</v>
      </c>
      <c r="EQ60" s="129">
        <v>119</v>
      </c>
      <c r="ER60" s="129">
        <v>123</v>
      </c>
      <c r="ES60" s="129">
        <v>123</v>
      </c>
      <c r="EZ60" s="129">
        <v>0</v>
      </c>
      <c r="FA60" s="133">
        <v>42040</v>
      </c>
      <c r="FB60" s="129">
        <f t="shared" si="30"/>
        <v>7</v>
      </c>
    </row>
    <row r="61" spans="1:165" s="129" customFormat="1" x14ac:dyDescent="0.25">
      <c r="A61" s="45" t="s">
        <v>347</v>
      </c>
      <c r="B61" s="135" t="s">
        <v>351</v>
      </c>
      <c r="C61" s="129" t="s">
        <v>157</v>
      </c>
      <c r="D61" s="129" t="str">
        <f t="shared" si="22"/>
        <v xml:space="preserve">67 Y </v>
      </c>
      <c r="E61" s="129">
        <v>2</v>
      </c>
      <c r="F61" s="133">
        <v>17549</v>
      </c>
      <c r="G61" s="133">
        <v>42034</v>
      </c>
      <c r="H61" s="130">
        <v>163.1</v>
      </c>
      <c r="I61" s="130">
        <v>58.8</v>
      </c>
      <c r="J61" s="130">
        <f t="shared" si="32"/>
        <v>55.189056130000012</v>
      </c>
      <c r="K61" s="130">
        <f t="shared" si="33"/>
        <v>22.103925288732523</v>
      </c>
      <c r="L61" s="129">
        <v>2</v>
      </c>
      <c r="M61" s="129">
        <v>0</v>
      </c>
      <c r="N61" s="129">
        <v>1</v>
      </c>
      <c r="O61" s="129">
        <v>0</v>
      </c>
      <c r="P61" s="129">
        <v>0</v>
      </c>
      <c r="Q61" s="129">
        <v>0</v>
      </c>
      <c r="R61" s="129">
        <v>0</v>
      </c>
      <c r="S61" s="129">
        <v>0</v>
      </c>
      <c r="T61" s="129">
        <v>0</v>
      </c>
      <c r="U61" s="129">
        <v>0</v>
      </c>
      <c r="V61" s="129">
        <v>0</v>
      </c>
      <c r="W61" s="129">
        <v>0</v>
      </c>
      <c r="X61" s="129">
        <v>0</v>
      </c>
      <c r="Y61" s="129">
        <v>0</v>
      </c>
      <c r="Z61" s="129">
        <v>0</v>
      </c>
      <c r="AA61" s="129">
        <v>0</v>
      </c>
      <c r="AB61" s="129">
        <v>0</v>
      </c>
      <c r="AC61" s="129">
        <v>0</v>
      </c>
      <c r="AD61" s="129">
        <v>0</v>
      </c>
      <c r="AE61" s="129">
        <v>0</v>
      </c>
      <c r="AF61" s="129">
        <v>0</v>
      </c>
      <c r="AG61" s="129">
        <v>0</v>
      </c>
      <c r="AH61" s="129">
        <v>0</v>
      </c>
      <c r="AK61" s="129">
        <v>13.6</v>
      </c>
      <c r="AL61" s="129">
        <v>39.4</v>
      </c>
      <c r="AM61" s="129">
        <v>0.67</v>
      </c>
      <c r="AN61" s="129" t="s">
        <v>128</v>
      </c>
      <c r="AP61" s="129">
        <v>138</v>
      </c>
      <c r="AQ61" s="129">
        <v>84</v>
      </c>
      <c r="AR61" s="183">
        <f t="shared" si="34"/>
        <v>102</v>
      </c>
      <c r="AS61" s="183">
        <f t="shared" si="35"/>
        <v>165.6</v>
      </c>
      <c r="AT61" s="183">
        <f t="shared" si="36"/>
        <v>110.4</v>
      </c>
      <c r="AU61" s="131">
        <v>0.31597222222222221</v>
      </c>
      <c r="AV61" s="131">
        <v>0.32500000000000001</v>
      </c>
      <c r="AW61" s="131">
        <v>0.62569444444444444</v>
      </c>
      <c r="AX61" s="131">
        <v>0.23958333333333334</v>
      </c>
      <c r="AY61" s="129">
        <v>8.1</v>
      </c>
      <c r="AZ61" s="129">
        <v>1</v>
      </c>
      <c r="BA61" s="129">
        <v>1000</v>
      </c>
      <c r="BB61" s="47">
        <v>96</v>
      </c>
      <c r="BC61" s="47">
        <v>48</v>
      </c>
      <c r="BD61" s="47">
        <v>59</v>
      </c>
      <c r="BE61" s="47">
        <v>71</v>
      </c>
      <c r="BF61" s="47">
        <v>1</v>
      </c>
      <c r="BG61" s="47">
        <v>100</v>
      </c>
      <c r="BH61" s="47">
        <v>100</v>
      </c>
      <c r="BI61" s="47">
        <v>0.5</v>
      </c>
      <c r="BJ61" s="47">
        <v>16</v>
      </c>
      <c r="BK61" s="47">
        <v>85</v>
      </c>
      <c r="BL61" s="47">
        <v>37</v>
      </c>
      <c r="BM61" s="47">
        <v>53</v>
      </c>
      <c r="BN61" s="47" t="s">
        <v>248</v>
      </c>
      <c r="BO61" s="47"/>
      <c r="BP61" s="47">
        <v>0.2</v>
      </c>
      <c r="BQ61" s="47">
        <v>1</v>
      </c>
      <c r="BR61" s="47">
        <v>0.60799999999999998</v>
      </c>
      <c r="BS61" s="47">
        <v>3040</v>
      </c>
      <c r="BT61" s="47">
        <v>30</v>
      </c>
      <c r="BU61" s="47">
        <v>0</v>
      </c>
      <c r="BV61" s="47">
        <v>0</v>
      </c>
      <c r="BW61" s="47">
        <v>100</v>
      </c>
      <c r="BX61" s="47">
        <v>0</v>
      </c>
      <c r="BY61" s="47">
        <v>1660</v>
      </c>
      <c r="BZ61" s="47">
        <v>1700</v>
      </c>
      <c r="CA61" s="47">
        <v>1000</v>
      </c>
      <c r="CB61" s="47">
        <v>6</v>
      </c>
      <c r="CC61" s="47">
        <v>18</v>
      </c>
      <c r="CD61" s="47">
        <v>10</v>
      </c>
      <c r="CE61" s="47">
        <v>10</v>
      </c>
      <c r="CF61" s="47">
        <v>8</v>
      </c>
      <c r="CG61" s="47">
        <v>5</v>
      </c>
      <c r="CH61" s="47"/>
      <c r="CI61" s="47"/>
      <c r="CJ61" s="47">
        <v>6</v>
      </c>
      <c r="CK61" s="47">
        <v>11.3</v>
      </c>
      <c r="CL61" s="47">
        <v>239</v>
      </c>
      <c r="CM61" s="47">
        <v>10.6</v>
      </c>
      <c r="CN61" s="47">
        <v>239</v>
      </c>
      <c r="CO61" s="47">
        <v>0</v>
      </c>
      <c r="CP61" s="47" t="s">
        <v>248</v>
      </c>
      <c r="CQ61" s="47">
        <v>0</v>
      </c>
      <c r="CR61" s="47">
        <v>0</v>
      </c>
      <c r="CS61" s="47">
        <v>0</v>
      </c>
      <c r="CT61" s="47">
        <v>0</v>
      </c>
      <c r="CU61" s="129">
        <v>500</v>
      </c>
      <c r="CV61" s="54">
        <f t="shared" si="37"/>
        <v>3360</v>
      </c>
      <c r="CW61" s="250">
        <v>0.61319444444444449</v>
      </c>
      <c r="CX61" s="250">
        <v>0.64583333333333337</v>
      </c>
      <c r="CY61" s="259">
        <f t="shared" si="31"/>
        <v>3.2638888888888884E-2</v>
      </c>
      <c r="CZ61" s="186">
        <f t="shared" si="9"/>
        <v>46.999999999999993</v>
      </c>
      <c r="DA61" s="129">
        <v>89</v>
      </c>
      <c r="DB61" s="129">
        <v>39</v>
      </c>
      <c r="DC61" s="132">
        <f t="shared" si="38"/>
        <v>55.666666666666671</v>
      </c>
      <c r="DD61" s="129">
        <v>89</v>
      </c>
      <c r="DE61" s="129">
        <v>2</v>
      </c>
      <c r="DF61" s="129">
        <v>1</v>
      </c>
      <c r="DG61" s="129">
        <v>1</v>
      </c>
      <c r="DH61" s="129">
        <v>1</v>
      </c>
      <c r="DN61" s="129">
        <v>5</v>
      </c>
      <c r="DO61" s="129">
        <v>3</v>
      </c>
      <c r="DP61" s="129">
        <v>4</v>
      </c>
      <c r="DQ61" s="129">
        <v>5</v>
      </c>
      <c r="DR61" s="129">
        <v>0</v>
      </c>
      <c r="DS61" s="129" t="s">
        <v>263</v>
      </c>
      <c r="DT61" s="129">
        <v>7</v>
      </c>
      <c r="DU61" s="129">
        <v>5</v>
      </c>
      <c r="DV61" s="129">
        <v>3</v>
      </c>
      <c r="DW61" s="129">
        <v>3</v>
      </c>
      <c r="DX61" s="129">
        <v>8</v>
      </c>
      <c r="DY61" s="129">
        <v>10.8</v>
      </c>
      <c r="DZ61" s="129">
        <v>9.8000000000000007</v>
      </c>
      <c r="EA61" s="129">
        <v>9.6999999999999993</v>
      </c>
      <c r="EB61" s="129">
        <v>9.6999999999999993</v>
      </c>
      <c r="EC61" s="129">
        <v>9.9</v>
      </c>
      <c r="ED61" s="129">
        <v>31.9</v>
      </c>
      <c r="EE61" s="129">
        <v>29.1</v>
      </c>
      <c r="EF61" s="129">
        <v>28.4</v>
      </c>
      <c r="EG61" s="129">
        <v>28.3</v>
      </c>
      <c r="EH61" s="129">
        <v>28.6</v>
      </c>
      <c r="EJ61" s="129">
        <v>0.66</v>
      </c>
      <c r="EK61" s="129">
        <v>0.56999999999999995</v>
      </c>
      <c r="EL61" s="129">
        <v>0.59</v>
      </c>
      <c r="EM61" s="129">
        <v>0.56999999999999995</v>
      </c>
      <c r="EN61" s="129">
        <v>136</v>
      </c>
      <c r="EO61" s="129">
        <v>201</v>
      </c>
      <c r="EP61" s="129">
        <v>212</v>
      </c>
      <c r="EQ61" s="129">
        <v>170</v>
      </c>
      <c r="ER61" s="129">
        <v>191</v>
      </c>
      <c r="ES61" s="129">
        <v>197</v>
      </c>
      <c r="EZ61" s="129">
        <v>0</v>
      </c>
      <c r="FA61" s="133">
        <v>42041</v>
      </c>
      <c r="FB61" s="129">
        <f t="shared" si="30"/>
        <v>7</v>
      </c>
    </row>
    <row r="62" spans="1:165" s="129" customFormat="1" x14ac:dyDescent="0.25">
      <c r="A62" s="45" t="s">
        <v>360</v>
      </c>
      <c r="B62" s="135" t="s">
        <v>362</v>
      </c>
      <c r="C62" s="129" t="s">
        <v>157</v>
      </c>
      <c r="D62" s="129" t="str">
        <f t="shared" si="22"/>
        <v xml:space="preserve">54 Y 6 M </v>
      </c>
      <c r="E62" s="129">
        <v>1</v>
      </c>
      <c r="F62" s="133">
        <v>22117</v>
      </c>
      <c r="G62" s="133">
        <v>42040</v>
      </c>
      <c r="H62" s="130">
        <v>170.2</v>
      </c>
      <c r="I62" s="130">
        <v>71.099999999999994</v>
      </c>
      <c r="J62" s="130">
        <f t="shared" si="32"/>
        <v>66.118193459999986</v>
      </c>
      <c r="K62" s="130">
        <f t="shared" si="33"/>
        <v>24.544290880570447</v>
      </c>
      <c r="L62" s="129">
        <v>2</v>
      </c>
      <c r="M62" s="129">
        <v>0</v>
      </c>
      <c r="N62" s="129">
        <v>0</v>
      </c>
      <c r="O62" s="129">
        <v>0</v>
      </c>
      <c r="P62" s="129">
        <v>0</v>
      </c>
      <c r="Q62" s="129">
        <v>0</v>
      </c>
      <c r="R62" s="129">
        <v>0</v>
      </c>
      <c r="S62" s="129">
        <v>0</v>
      </c>
      <c r="T62" s="129">
        <v>0</v>
      </c>
      <c r="U62" s="129">
        <v>0</v>
      </c>
      <c r="V62" s="129">
        <v>0</v>
      </c>
      <c r="W62" s="129">
        <v>0</v>
      </c>
      <c r="X62" s="129">
        <v>0</v>
      </c>
      <c r="Y62" s="129">
        <v>0</v>
      </c>
      <c r="Z62" s="129">
        <v>0</v>
      </c>
      <c r="AA62" s="129">
        <v>0</v>
      </c>
      <c r="AB62" s="129">
        <v>0</v>
      </c>
      <c r="AC62" s="129">
        <v>0</v>
      </c>
      <c r="AD62" s="129">
        <v>0</v>
      </c>
      <c r="AE62" s="129">
        <v>0</v>
      </c>
      <c r="AF62" s="129">
        <v>0</v>
      </c>
      <c r="AG62" s="129">
        <v>0</v>
      </c>
      <c r="AH62" s="129">
        <v>0</v>
      </c>
      <c r="AI62" s="129">
        <v>0</v>
      </c>
      <c r="AJ62" s="129">
        <v>0</v>
      </c>
      <c r="AK62" s="129">
        <v>13.2</v>
      </c>
      <c r="AL62" s="129">
        <v>38.6</v>
      </c>
      <c r="AM62" s="129">
        <v>0.51</v>
      </c>
      <c r="AN62" s="129" t="s">
        <v>128</v>
      </c>
      <c r="AP62" s="129">
        <v>111.5</v>
      </c>
      <c r="AQ62" s="129">
        <v>69.5</v>
      </c>
      <c r="AR62" s="183">
        <f t="shared" si="34"/>
        <v>83.5</v>
      </c>
      <c r="AS62" s="183">
        <f t="shared" si="35"/>
        <v>133.80000000000001</v>
      </c>
      <c r="AT62" s="183">
        <f t="shared" si="36"/>
        <v>89.2</v>
      </c>
      <c r="AU62" s="131">
        <v>0.3125</v>
      </c>
      <c r="AV62" s="131">
        <v>0.31736111111111115</v>
      </c>
      <c r="AW62" s="131">
        <v>0.59027777777777779</v>
      </c>
      <c r="AX62" s="131">
        <v>0.20833333333333334</v>
      </c>
      <c r="AY62" s="129">
        <v>8.1</v>
      </c>
      <c r="AZ62" s="129">
        <v>1</v>
      </c>
      <c r="BA62" s="129">
        <v>1000</v>
      </c>
      <c r="BB62" s="47">
        <v>106</v>
      </c>
      <c r="BC62" s="47">
        <v>70</v>
      </c>
      <c r="BD62" s="47">
        <v>79</v>
      </c>
      <c r="BE62" s="47">
        <v>71</v>
      </c>
      <c r="BF62" s="47">
        <v>1</v>
      </c>
      <c r="BG62" s="47">
        <v>130</v>
      </c>
      <c r="BH62" s="47">
        <v>150</v>
      </c>
      <c r="BI62" s="47">
        <v>0.5</v>
      </c>
      <c r="BJ62" s="47">
        <v>6</v>
      </c>
      <c r="BK62" s="47">
        <v>73</v>
      </c>
      <c r="BL62" s="47">
        <v>48</v>
      </c>
      <c r="BM62" s="47">
        <v>54</v>
      </c>
      <c r="BN62" s="47">
        <v>1</v>
      </c>
      <c r="BO62" s="47">
        <v>15</v>
      </c>
      <c r="BP62" s="47">
        <v>0</v>
      </c>
      <c r="BQ62" s="47">
        <v>1</v>
      </c>
      <c r="BR62" s="47">
        <v>652</v>
      </c>
      <c r="BS62" s="47">
        <v>4400</v>
      </c>
      <c r="BT62" s="47">
        <v>0</v>
      </c>
      <c r="BU62" s="47">
        <v>0</v>
      </c>
      <c r="BV62" s="47">
        <v>0</v>
      </c>
      <c r="BW62" s="47">
        <v>150</v>
      </c>
      <c r="BX62" s="47">
        <v>0</v>
      </c>
      <c r="BY62" s="47">
        <v>2216</v>
      </c>
      <c r="BZ62" s="47">
        <v>200</v>
      </c>
      <c r="CA62" s="47">
        <v>2000</v>
      </c>
      <c r="CB62" s="47">
        <v>5</v>
      </c>
      <c r="CC62" s="47">
        <v>6</v>
      </c>
      <c r="CD62" s="47">
        <v>3</v>
      </c>
      <c r="CE62" s="47">
        <v>3</v>
      </c>
      <c r="CF62" s="47">
        <v>4</v>
      </c>
      <c r="CG62" s="47"/>
      <c r="CH62" s="47"/>
      <c r="CI62" s="47"/>
      <c r="CJ62" s="47">
        <v>4</v>
      </c>
      <c r="CK62" s="47">
        <v>9.8000000000000007</v>
      </c>
      <c r="CL62" s="47">
        <v>151</v>
      </c>
      <c r="CM62" s="47">
        <v>8.1</v>
      </c>
      <c r="CN62" s="47">
        <v>185</v>
      </c>
      <c r="CO62" s="47">
        <v>0</v>
      </c>
      <c r="CP62" s="47">
        <v>1</v>
      </c>
      <c r="CQ62" s="47">
        <v>0</v>
      </c>
      <c r="CR62" s="47">
        <v>0</v>
      </c>
      <c r="CS62" s="47">
        <v>0</v>
      </c>
      <c r="CT62" s="47">
        <v>0</v>
      </c>
      <c r="CU62" s="129">
        <v>1000</v>
      </c>
      <c r="CV62" s="129">
        <f t="shared" si="37"/>
        <v>2416</v>
      </c>
      <c r="CW62" s="240">
        <v>0.58472222222222225</v>
      </c>
      <c r="CX62" s="240">
        <v>0.63541666666666663</v>
      </c>
      <c r="CY62" s="259">
        <f t="shared" si="31"/>
        <v>5.0694444444444375E-2</v>
      </c>
      <c r="CZ62" s="186">
        <f t="shared" si="9"/>
        <v>72.999999999999901</v>
      </c>
      <c r="DA62" s="129">
        <v>98</v>
      </c>
      <c r="DB62" s="129">
        <v>53</v>
      </c>
      <c r="DC62" s="132">
        <f t="shared" si="38"/>
        <v>68</v>
      </c>
      <c r="DD62" s="129">
        <v>89</v>
      </c>
      <c r="DE62" s="129">
        <v>2</v>
      </c>
      <c r="DF62" s="129">
        <v>1</v>
      </c>
      <c r="DG62" s="129">
        <v>1</v>
      </c>
      <c r="DH62" s="129">
        <v>1</v>
      </c>
      <c r="DN62" s="129">
        <v>3</v>
      </c>
      <c r="DO62" s="129">
        <v>3</v>
      </c>
      <c r="DP62" s="129">
        <v>5</v>
      </c>
      <c r="DQ62" s="129">
        <v>5</v>
      </c>
      <c r="DR62" s="129">
        <v>0</v>
      </c>
      <c r="DS62" s="129">
        <v>2</v>
      </c>
      <c r="DT62" s="129">
        <v>2</v>
      </c>
      <c r="DU62" s="129">
        <v>5</v>
      </c>
      <c r="DV62" s="129" t="s">
        <v>263</v>
      </c>
      <c r="DW62" s="129" t="s">
        <v>263</v>
      </c>
      <c r="DX62" s="129">
        <v>4</v>
      </c>
      <c r="DY62" s="129">
        <v>8.6999999999999993</v>
      </c>
      <c r="DZ62" s="129">
        <v>8.6999999999999993</v>
      </c>
      <c r="EA62" s="129">
        <v>7.3</v>
      </c>
      <c r="EB62" s="129">
        <v>7.7</v>
      </c>
      <c r="EC62" s="129">
        <v>7.4</v>
      </c>
      <c r="ED62" s="129">
        <v>24.8</v>
      </c>
      <c r="EE62" s="129">
        <v>24.6</v>
      </c>
      <c r="EF62" s="129">
        <v>20.399999999999999</v>
      </c>
      <c r="EG62" s="129">
        <v>22.2</v>
      </c>
      <c r="EH62" s="129">
        <v>21</v>
      </c>
      <c r="EI62" s="129">
        <v>0.68</v>
      </c>
      <c r="EJ62" s="129">
        <v>0.86</v>
      </c>
      <c r="EK62" s="129">
        <v>0.72</v>
      </c>
      <c r="EL62" s="129">
        <v>0.67</v>
      </c>
      <c r="EM62" s="219"/>
      <c r="EN62" s="129">
        <v>120</v>
      </c>
      <c r="EO62" s="129">
        <v>162</v>
      </c>
      <c r="EP62" s="129">
        <v>137</v>
      </c>
      <c r="EQ62" s="129">
        <v>114</v>
      </c>
      <c r="ER62" s="129">
        <v>117</v>
      </c>
      <c r="ES62" s="129">
        <v>102</v>
      </c>
      <c r="EZ62" s="129">
        <v>0</v>
      </c>
      <c r="FA62" s="133">
        <v>42047</v>
      </c>
      <c r="FB62" s="129">
        <f t="shared" si="30"/>
        <v>7</v>
      </c>
    </row>
    <row r="63" spans="1:165" s="129" customFormat="1" x14ac:dyDescent="0.25">
      <c r="A63" s="205" t="s">
        <v>383</v>
      </c>
      <c r="B63" s="181" t="s">
        <v>384</v>
      </c>
      <c r="C63" s="129" t="s">
        <v>157</v>
      </c>
      <c r="D63" s="129" t="str">
        <f t="shared" si="22"/>
        <v xml:space="preserve">73 Y 8 M </v>
      </c>
      <c r="E63" s="129">
        <v>2</v>
      </c>
      <c r="F63" s="133">
        <v>15142</v>
      </c>
      <c r="G63" s="133">
        <v>42075</v>
      </c>
      <c r="H63" s="130">
        <v>157</v>
      </c>
      <c r="I63" s="130">
        <v>80.900000000000006</v>
      </c>
      <c r="J63" s="130">
        <f t="shared" si="32"/>
        <v>49.665431100000013</v>
      </c>
      <c r="K63" s="130">
        <f t="shared" si="33"/>
        <v>32.820804089415397</v>
      </c>
      <c r="L63" s="129">
        <v>0</v>
      </c>
      <c r="M63" s="129">
        <v>1</v>
      </c>
      <c r="N63" s="129">
        <v>0</v>
      </c>
      <c r="O63" s="129">
        <v>0</v>
      </c>
      <c r="P63" s="129">
        <v>0</v>
      </c>
      <c r="Q63" s="129">
        <v>0</v>
      </c>
      <c r="R63" s="129">
        <v>0</v>
      </c>
      <c r="S63" s="129">
        <v>0</v>
      </c>
      <c r="T63" s="129">
        <v>1</v>
      </c>
      <c r="U63" s="129">
        <v>1</v>
      </c>
      <c r="V63" s="129">
        <v>100</v>
      </c>
      <c r="W63" s="129">
        <v>0</v>
      </c>
      <c r="X63" s="129">
        <v>0</v>
      </c>
      <c r="Y63" s="129">
        <v>0</v>
      </c>
      <c r="Z63" s="129">
        <v>0</v>
      </c>
      <c r="AA63" s="129">
        <v>0</v>
      </c>
      <c r="AB63" s="129">
        <v>0</v>
      </c>
      <c r="AC63" s="129">
        <v>0</v>
      </c>
      <c r="AD63" s="129">
        <v>0</v>
      </c>
      <c r="AE63" s="129">
        <v>0</v>
      </c>
      <c r="AF63" s="129">
        <v>1</v>
      </c>
      <c r="AG63" s="129">
        <v>2</v>
      </c>
      <c r="AH63" s="129">
        <v>40</v>
      </c>
      <c r="AK63" s="129">
        <v>9.4</v>
      </c>
      <c r="AL63" s="129">
        <v>28.8</v>
      </c>
      <c r="AM63" s="129">
        <v>1.69</v>
      </c>
      <c r="AN63" s="129">
        <v>36</v>
      </c>
      <c r="AP63" s="129">
        <f>(89+116)/2</f>
        <v>102.5</v>
      </c>
      <c r="AQ63" s="129">
        <f>(74+65)/2</f>
        <v>69.5</v>
      </c>
      <c r="AR63" s="183">
        <f t="shared" si="34"/>
        <v>80.5</v>
      </c>
      <c r="AS63" s="183">
        <f t="shared" si="35"/>
        <v>123</v>
      </c>
      <c r="AT63" s="183">
        <f t="shared" si="36"/>
        <v>82</v>
      </c>
      <c r="AU63" s="131">
        <v>0.45416666666666666</v>
      </c>
      <c r="AV63" s="131">
        <v>0.45902777777777781</v>
      </c>
      <c r="AW63" s="131">
        <v>0.76874999999999993</v>
      </c>
      <c r="AX63" s="131">
        <v>0.375</v>
      </c>
      <c r="AY63" s="129">
        <v>8.1</v>
      </c>
      <c r="AZ63" s="129">
        <v>1</v>
      </c>
      <c r="BA63" s="129">
        <v>1000</v>
      </c>
      <c r="BB63" s="129">
        <v>93</v>
      </c>
      <c r="BC63" s="129">
        <v>49</v>
      </c>
      <c r="BD63" s="129">
        <v>55</v>
      </c>
      <c r="BE63" s="129">
        <v>109</v>
      </c>
      <c r="BF63" s="129">
        <v>1</v>
      </c>
      <c r="BG63" s="129">
        <v>10</v>
      </c>
      <c r="BH63" s="129">
        <v>275</v>
      </c>
      <c r="BI63" s="129">
        <v>0.5</v>
      </c>
      <c r="BJ63" s="129">
        <v>16</v>
      </c>
      <c r="BK63" s="129">
        <v>42</v>
      </c>
      <c r="BL63" s="129">
        <v>28</v>
      </c>
      <c r="BM63" s="129">
        <v>30</v>
      </c>
      <c r="BN63" s="129">
        <v>1</v>
      </c>
      <c r="BO63" s="129">
        <v>5</v>
      </c>
      <c r="BP63" s="129">
        <v>0</v>
      </c>
      <c r="BQ63" s="129">
        <v>0</v>
      </c>
      <c r="BR63" s="129">
        <v>0</v>
      </c>
      <c r="BS63" s="129">
        <v>440</v>
      </c>
      <c r="BT63" s="129">
        <v>10</v>
      </c>
      <c r="BU63" s="129">
        <v>3</v>
      </c>
      <c r="BV63" s="129">
        <v>0</v>
      </c>
      <c r="BW63" s="129">
        <v>275</v>
      </c>
      <c r="BX63" s="129">
        <v>0</v>
      </c>
      <c r="BY63" s="129">
        <v>1950</v>
      </c>
      <c r="BZ63" s="129">
        <v>3100</v>
      </c>
      <c r="CA63" s="129">
        <v>1500</v>
      </c>
      <c r="CB63" s="129">
        <v>5</v>
      </c>
      <c r="CC63" s="129">
        <v>17</v>
      </c>
      <c r="CD63" s="129">
        <v>26</v>
      </c>
      <c r="CE63" s="129">
        <v>36</v>
      </c>
      <c r="CF63" s="129">
        <v>11</v>
      </c>
      <c r="CG63" s="129">
        <v>6</v>
      </c>
      <c r="CJ63" s="129">
        <v>5</v>
      </c>
      <c r="CK63" s="129">
        <v>6.1</v>
      </c>
      <c r="CL63" s="129">
        <v>161</v>
      </c>
      <c r="CM63" s="129">
        <v>6.1</v>
      </c>
      <c r="CN63" s="129">
        <v>213</v>
      </c>
      <c r="CO63" s="129">
        <v>4</v>
      </c>
      <c r="CP63" s="129">
        <v>1</v>
      </c>
      <c r="CQ63" s="129">
        <v>1</v>
      </c>
      <c r="CR63" s="129">
        <v>25</v>
      </c>
      <c r="CS63" s="129">
        <v>0</v>
      </c>
      <c r="CT63" s="129">
        <v>0</v>
      </c>
      <c r="CU63" s="129">
        <v>700</v>
      </c>
      <c r="CV63" s="129">
        <f t="shared" si="37"/>
        <v>5050</v>
      </c>
      <c r="CW63" s="131">
        <v>0.76041666666666663</v>
      </c>
      <c r="CX63" s="131">
        <v>0.83958333333333324</v>
      </c>
      <c r="CY63" s="259">
        <f t="shared" si="31"/>
        <v>7.9166666666666607E-2</v>
      </c>
      <c r="CZ63" s="186">
        <f t="shared" si="9"/>
        <v>113.99999999999991</v>
      </c>
      <c r="DA63" s="129">
        <v>178</v>
      </c>
      <c r="DB63" s="129">
        <v>100</v>
      </c>
      <c r="DC63" s="132">
        <f t="shared" ref="DC63" si="39">((DA63-DB63)*1/3)+DB63</f>
        <v>126</v>
      </c>
      <c r="DD63" s="129">
        <v>89</v>
      </c>
      <c r="DE63" s="129">
        <v>1</v>
      </c>
      <c r="DF63" s="129">
        <v>1</v>
      </c>
      <c r="DG63" s="129">
        <v>1</v>
      </c>
      <c r="DH63" s="129">
        <v>1</v>
      </c>
      <c r="DN63" s="129">
        <v>4</v>
      </c>
      <c r="DO63" s="129">
        <v>4</v>
      </c>
      <c r="DP63" s="129">
        <v>5</v>
      </c>
      <c r="DQ63" s="129">
        <v>5</v>
      </c>
      <c r="DR63" s="129">
        <v>0</v>
      </c>
      <c r="DS63" s="129" t="s">
        <v>263</v>
      </c>
      <c r="DT63" s="129">
        <v>8</v>
      </c>
      <c r="DU63" s="129">
        <v>2</v>
      </c>
      <c r="DV63" s="129">
        <v>2</v>
      </c>
      <c r="DW63" s="129">
        <v>8</v>
      </c>
      <c r="DX63" s="129">
        <v>2</v>
      </c>
      <c r="DY63" s="130">
        <v>10.3</v>
      </c>
      <c r="DZ63" s="130">
        <v>9.5</v>
      </c>
      <c r="EA63" s="130">
        <v>9.4</v>
      </c>
      <c r="EB63" s="130">
        <v>9.3000000000000007</v>
      </c>
      <c r="EC63" s="130">
        <v>8.6999999999999993</v>
      </c>
      <c r="ED63" s="130">
        <v>31</v>
      </c>
      <c r="EE63" s="130">
        <v>29.1</v>
      </c>
      <c r="EF63" s="130">
        <v>28.7</v>
      </c>
      <c r="EG63" s="130">
        <v>28.7</v>
      </c>
      <c r="EH63" s="130">
        <v>27</v>
      </c>
      <c r="EI63" s="132">
        <v>1.17</v>
      </c>
      <c r="EJ63" s="132">
        <v>1.04</v>
      </c>
      <c r="EK63" s="132">
        <v>0.95</v>
      </c>
      <c r="EL63" s="132">
        <v>0.85</v>
      </c>
      <c r="EM63" s="132">
        <v>0.86</v>
      </c>
      <c r="EN63" s="129">
        <v>197</v>
      </c>
      <c r="EO63" s="129">
        <v>169</v>
      </c>
      <c r="EP63" s="129">
        <v>109</v>
      </c>
      <c r="EQ63" s="129">
        <v>121</v>
      </c>
      <c r="ER63" s="129">
        <v>194</v>
      </c>
      <c r="ES63" s="129">
        <v>145</v>
      </c>
      <c r="EZ63" s="129">
        <v>0</v>
      </c>
      <c r="FA63" s="133">
        <v>42082</v>
      </c>
      <c r="FB63" s="129">
        <f t="shared" si="30"/>
        <v>7</v>
      </c>
    </row>
    <row r="64" spans="1:165" s="1" customFormat="1" x14ac:dyDescent="0.25">
      <c r="A64" s="115" t="s">
        <v>389</v>
      </c>
      <c r="B64" s="180" t="s">
        <v>397</v>
      </c>
      <c r="C64" s="61" t="s">
        <v>157</v>
      </c>
      <c r="D64" s="129" t="str">
        <f t="shared" si="22"/>
        <v xml:space="preserve">49 Y 1 M </v>
      </c>
      <c r="E64" s="129">
        <v>1</v>
      </c>
      <c r="F64" s="48">
        <v>24163</v>
      </c>
      <c r="G64" s="48">
        <v>42111</v>
      </c>
      <c r="H64" s="223"/>
      <c r="I64" s="223"/>
      <c r="J64" s="223"/>
      <c r="K64" s="223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  <c r="AK64" s="222"/>
      <c r="AL64" s="222"/>
      <c r="AM64" s="222"/>
      <c r="AN64" s="222"/>
      <c r="AO64" s="222"/>
      <c r="AP64" s="222"/>
      <c r="AQ64" s="222"/>
      <c r="AR64" s="223"/>
      <c r="AS64" s="222"/>
      <c r="AT64" s="222"/>
      <c r="AU64" s="222"/>
      <c r="AV64" s="222"/>
      <c r="AW64" s="222"/>
      <c r="AX64" s="222"/>
      <c r="AY64" s="222"/>
      <c r="AZ64" s="222"/>
      <c r="BA64" s="222"/>
      <c r="BB64" s="47">
        <v>104</v>
      </c>
      <c r="BC64" s="47">
        <v>74</v>
      </c>
      <c r="BD64" s="47">
        <v>81</v>
      </c>
      <c r="BE64" s="47">
        <v>62</v>
      </c>
      <c r="BF64" s="47">
        <v>1</v>
      </c>
      <c r="BG64" s="47">
        <v>140</v>
      </c>
      <c r="BH64" s="47">
        <v>0</v>
      </c>
      <c r="BI64" s="47">
        <v>0.6</v>
      </c>
      <c r="BJ64" s="47">
        <v>8</v>
      </c>
      <c r="BK64" s="47">
        <v>83</v>
      </c>
      <c r="BL64" s="47">
        <v>45</v>
      </c>
      <c r="BM64" s="47">
        <v>58</v>
      </c>
      <c r="BN64" s="47">
        <v>0</v>
      </c>
      <c r="BO64" s="47">
        <v>4</v>
      </c>
      <c r="BP64" s="47">
        <v>0.4</v>
      </c>
      <c r="BQ64" s="47">
        <v>1</v>
      </c>
      <c r="BR64" s="47">
        <v>2.0019999999999998</v>
      </c>
      <c r="BS64" s="47">
        <v>560</v>
      </c>
      <c r="BT64" s="47">
        <v>0</v>
      </c>
      <c r="BU64" s="47">
        <v>0</v>
      </c>
      <c r="BV64" s="47">
        <v>0</v>
      </c>
      <c r="BW64" s="47">
        <v>0</v>
      </c>
      <c r="BX64" s="47">
        <v>0</v>
      </c>
      <c r="BY64" s="47">
        <v>2074</v>
      </c>
      <c r="BZ64" s="47">
        <v>4500</v>
      </c>
      <c r="CA64" s="47">
        <v>1000</v>
      </c>
      <c r="CB64" s="47">
        <v>5</v>
      </c>
      <c r="CC64" s="47">
        <v>6</v>
      </c>
      <c r="CD64" s="47">
        <v>12</v>
      </c>
      <c r="CE64" s="47">
        <v>5</v>
      </c>
      <c r="CF64" s="47">
        <v>5</v>
      </c>
      <c r="CG64" s="47">
        <v>6</v>
      </c>
      <c r="CH64" s="47"/>
      <c r="CI64" s="47"/>
      <c r="CJ64" s="47">
        <v>4</v>
      </c>
      <c r="CK64" s="47">
        <v>11.8</v>
      </c>
      <c r="CL64" s="47">
        <v>115</v>
      </c>
      <c r="CM64" s="47">
        <v>9.6</v>
      </c>
      <c r="CN64" s="47">
        <v>126</v>
      </c>
      <c r="CO64" s="47">
        <v>0</v>
      </c>
      <c r="CP64" s="47">
        <v>1</v>
      </c>
      <c r="CQ64" s="47">
        <v>0</v>
      </c>
      <c r="CR64" s="47">
        <v>0</v>
      </c>
      <c r="CS64" s="47">
        <v>0</v>
      </c>
      <c r="CT64" s="47">
        <v>0</v>
      </c>
      <c r="CU64" s="222"/>
      <c r="CV64" s="129">
        <f t="shared" si="37"/>
        <v>6574</v>
      </c>
      <c r="CW64" s="240">
        <v>0.6118055555555556</v>
      </c>
      <c r="CX64" s="240">
        <v>0.6479166666666667</v>
      </c>
      <c r="CY64" s="259">
        <f t="shared" si="31"/>
        <v>3.6111111111111094E-2</v>
      </c>
      <c r="CZ64" s="260">
        <f t="shared" si="9"/>
        <v>51.999999999999972</v>
      </c>
      <c r="DA64" s="222"/>
      <c r="DB64" s="222"/>
      <c r="DC64" s="224"/>
      <c r="DD64" s="222"/>
      <c r="DE64" s="222"/>
      <c r="DF64" s="222"/>
      <c r="DG64" s="222"/>
      <c r="DH64" s="222"/>
      <c r="DI64" s="222"/>
      <c r="DJ64" s="222"/>
      <c r="DK64" s="222"/>
      <c r="DL64" s="222"/>
      <c r="DM64" s="222"/>
      <c r="DN64" s="222"/>
      <c r="DO64" s="222"/>
      <c r="DP64" s="222"/>
      <c r="DQ64" s="222"/>
      <c r="DR64" s="222"/>
      <c r="DS64" s="222"/>
      <c r="DT64" s="225"/>
      <c r="DU64" s="225"/>
      <c r="DV64" s="225"/>
      <c r="DW64" s="225"/>
      <c r="DX64" s="225"/>
      <c r="DY64" s="222"/>
      <c r="DZ64" s="222"/>
      <c r="EA64" s="222"/>
      <c r="EB64" s="222"/>
      <c r="EC64" s="226"/>
      <c r="ED64" s="222"/>
      <c r="EE64" s="222"/>
      <c r="EF64" s="222"/>
      <c r="EG64" s="222"/>
      <c r="EH64" s="222"/>
      <c r="EI64" s="222"/>
      <c r="EJ64" s="222"/>
      <c r="EK64" s="222"/>
      <c r="EL64" s="222"/>
      <c r="EM64" s="222"/>
      <c r="EN64" s="222"/>
      <c r="EO64" s="222"/>
      <c r="EP64" s="222"/>
      <c r="EQ64" s="222"/>
      <c r="ER64" s="222"/>
      <c r="ES64" s="222"/>
      <c r="ET64" s="222"/>
      <c r="EU64" s="222"/>
      <c r="EV64" s="222"/>
      <c r="EW64" s="222"/>
      <c r="EX64" s="222"/>
      <c r="EY64" s="222"/>
      <c r="EZ64" s="213">
        <v>0</v>
      </c>
      <c r="FA64" s="227">
        <v>42118</v>
      </c>
      <c r="FB64" s="213">
        <f t="shared" si="30"/>
        <v>7</v>
      </c>
    </row>
    <row r="65" spans="1:157" s="1" customFormat="1" x14ac:dyDescent="0.25">
      <c r="A65" s="115"/>
      <c r="B65" s="136"/>
      <c r="C65" s="8"/>
      <c r="G65" s="3"/>
      <c r="H65" s="4"/>
      <c r="I65" s="4"/>
      <c r="J65" s="4"/>
      <c r="K65" s="4"/>
      <c r="AR65" s="4"/>
      <c r="BC65" s="47"/>
      <c r="DC65" s="2"/>
      <c r="DT65" s="9"/>
      <c r="DU65" s="9"/>
      <c r="DV65" s="9"/>
      <c r="DW65" s="9"/>
      <c r="DX65" s="9"/>
      <c r="EC65" s="125"/>
      <c r="FA65" s="3"/>
    </row>
    <row r="66" spans="1:157" s="1" customFormat="1" x14ac:dyDescent="0.25">
      <c r="A66" s="115"/>
      <c r="B66" s="136"/>
      <c r="C66" s="8"/>
      <c r="G66" s="3"/>
      <c r="H66" s="4"/>
      <c r="I66" s="4"/>
      <c r="J66" s="4"/>
      <c r="K66" s="4"/>
      <c r="AR66" s="4"/>
      <c r="BC66" s="47"/>
      <c r="DC66" s="2"/>
      <c r="DT66" s="9"/>
      <c r="DU66" s="9"/>
      <c r="DV66" s="9"/>
      <c r="DW66" s="9"/>
      <c r="DX66" s="9"/>
      <c r="EC66" s="125"/>
      <c r="FA66" s="3"/>
    </row>
    <row r="67" spans="1:157" s="1" customFormat="1" x14ac:dyDescent="0.25">
      <c r="A67" s="113"/>
      <c r="B67" s="136"/>
      <c r="C67" s="8"/>
      <c r="G67" s="3"/>
      <c r="H67" s="4"/>
      <c r="I67" s="4"/>
      <c r="J67" s="4"/>
      <c r="K67" s="4"/>
      <c r="AR67" s="4"/>
      <c r="BC67" s="47"/>
      <c r="DC67" s="2"/>
      <c r="DT67" s="9"/>
      <c r="DU67" s="9"/>
      <c r="DV67" s="9"/>
      <c r="DW67" s="9"/>
      <c r="DX67" s="9"/>
      <c r="EC67" s="125"/>
      <c r="FA67" s="3"/>
    </row>
    <row r="68" spans="1:157" s="1" customFormat="1" x14ac:dyDescent="0.25">
      <c r="A68" s="113"/>
      <c r="B68" s="136"/>
      <c r="C68" s="8"/>
      <c r="G68" s="3"/>
      <c r="H68" s="4"/>
      <c r="I68" s="4"/>
      <c r="J68" s="4"/>
      <c r="K68" s="4"/>
      <c r="AR68" s="4"/>
      <c r="BC68" s="47"/>
      <c r="DC68" s="2"/>
      <c r="DT68" s="9"/>
      <c r="DU68" s="9"/>
      <c r="DV68" s="9"/>
      <c r="DW68" s="9"/>
      <c r="DX68" s="9"/>
      <c r="EC68" s="125"/>
      <c r="FA68" s="3"/>
    </row>
    <row r="69" spans="1:157" s="1" customFormat="1" x14ac:dyDescent="0.25">
      <c r="A69" s="113"/>
      <c r="B69" s="136"/>
      <c r="C69" s="8"/>
      <c r="G69" s="3"/>
      <c r="H69" s="4"/>
      <c r="I69" s="4"/>
      <c r="J69" s="4"/>
      <c r="K69" s="4"/>
      <c r="AR69" s="4"/>
      <c r="BC69" s="47"/>
      <c r="DC69" s="2"/>
      <c r="DT69" s="9"/>
      <c r="DU69" s="9"/>
      <c r="DV69" s="9"/>
      <c r="DW69" s="9"/>
      <c r="DX69" s="9"/>
      <c r="EC69" s="125"/>
      <c r="FA69" s="3"/>
    </row>
    <row r="70" spans="1:157" s="1" customFormat="1" x14ac:dyDescent="0.25">
      <c r="A70" s="113"/>
      <c r="B70" s="136"/>
      <c r="C70" s="8"/>
      <c r="G70" s="3"/>
      <c r="H70" s="4"/>
      <c r="I70" s="4"/>
      <c r="J70" s="4"/>
      <c r="K70" s="4"/>
      <c r="AR70" s="4"/>
      <c r="BC70" s="47"/>
      <c r="DC70" s="2"/>
      <c r="DT70" s="9"/>
      <c r="DU70" s="9"/>
      <c r="DV70" s="9"/>
      <c r="DW70" s="9"/>
      <c r="DX70" s="9"/>
      <c r="EC70" s="125"/>
      <c r="FA70" s="3"/>
    </row>
    <row r="71" spans="1:157" s="1" customFormat="1" x14ac:dyDescent="0.25">
      <c r="A71" s="113"/>
      <c r="B71" s="136"/>
      <c r="C71" s="8"/>
      <c r="G71" s="3"/>
      <c r="H71" s="4"/>
      <c r="I71" s="4"/>
      <c r="J71" s="4"/>
      <c r="K71" s="4"/>
      <c r="AR71" s="4"/>
      <c r="BC71" s="47"/>
      <c r="DC71" s="2"/>
      <c r="DT71" s="9"/>
      <c r="DU71" s="9"/>
      <c r="DV71" s="9"/>
      <c r="DW71" s="9"/>
      <c r="DX71" s="9"/>
      <c r="EC71" s="125"/>
      <c r="FA71" s="3"/>
    </row>
    <row r="72" spans="1:157" s="1" customFormat="1" x14ac:dyDescent="0.25">
      <c r="A72" s="113"/>
      <c r="B72" s="136"/>
      <c r="C72" s="8"/>
      <c r="G72" s="3"/>
      <c r="H72" s="4"/>
      <c r="I72" s="4"/>
      <c r="J72" s="4"/>
      <c r="K72" s="4"/>
      <c r="AR72" s="4"/>
      <c r="BC72" s="47"/>
      <c r="DC72" s="2"/>
      <c r="DT72" s="9"/>
      <c r="DU72" s="9"/>
      <c r="DV72" s="9"/>
      <c r="DW72" s="9"/>
      <c r="DX72" s="9"/>
      <c r="EC72" s="125"/>
      <c r="FA72" s="3"/>
    </row>
    <row r="73" spans="1:157" s="1" customFormat="1" x14ac:dyDescent="0.25">
      <c r="A73" s="113"/>
      <c r="B73" s="136"/>
      <c r="C73" s="8"/>
      <c r="G73" s="3"/>
      <c r="H73" s="4"/>
      <c r="I73" s="4"/>
      <c r="J73" s="4"/>
      <c r="K73" s="4"/>
      <c r="AR73" s="4"/>
      <c r="BC73" s="47"/>
      <c r="DC73" s="2"/>
      <c r="DT73" s="9"/>
      <c r="DU73" s="9"/>
      <c r="DV73" s="9"/>
      <c r="DW73" s="9"/>
      <c r="DX73" s="9"/>
      <c r="EC73" s="125"/>
      <c r="FA73" s="3"/>
    </row>
    <row r="74" spans="1:157" s="1" customFormat="1" x14ac:dyDescent="0.25">
      <c r="A74" s="113"/>
      <c r="B74" s="136"/>
      <c r="C74" s="8"/>
      <c r="G74" s="3"/>
      <c r="H74" s="4"/>
      <c r="I74" s="4"/>
      <c r="J74" s="4"/>
      <c r="K74" s="4"/>
      <c r="AR74" s="4"/>
      <c r="BC74" s="47"/>
      <c r="DC74" s="2"/>
      <c r="DT74" s="9"/>
      <c r="DU74" s="9"/>
      <c r="DV74" s="9"/>
      <c r="DW74" s="9"/>
      <c r="DX74" s="9"/>
      <c r="EC74" s="125"/>
      <c r="FA74" s="3"/>
    </row>
    <row r="75" spans="1:157" s="1" customFormat="1" x14ac:dyDescent="0.25">
      <c r="A75" s="113"/>
      <c r="B75" s="136"/>
      <c r="C75" s="8"/>
      <c r="G75" s="3"/>
      <c r="H75" s="4"/>
      <c r="I75" s="4"/>
      <c r="J75" s="4"/>
      <c r="K75" s="4"/>
      <c r="AR75" s="4"/>
      <c r="BC75" s="47"/>
      <c r="DC75" s="2"/>
      <c r="DT75" s="9"/>
      <c r="DU75" s="9"/>
      <c r="DV75" s="9"/>
      <c r="DW75" s="9"/>
      <c r="DX75" s="9"/>
      <c r="EC75" s="125"/>
      <c r="FA75" s="3"/>
    </row>
    <row r="76" spans="1:157" s="1" customFormat="1" x14ac:dyDescent="0.25">
      <c r="A76" s="113"/>
      <c r="B76" s="136"/>
      <c r="C76" s="8"/>
      <c r="G76" s="3"/>
      <c r="H76" s="4"/>
      <c r="I76" s="4"/>
      <c r="J76" s="4"/>
      <c r="K76" s="4"/>
      <c r="AR76" s="4"/>
      <c r="BC76" s="47"/>
      <c r="DC76" s="2"/>
      <c r="DT76" s="9"/>
      <c r="DU76" s="9"/>
      <c r="DV76" s="9"/>
      <c r="DW76" s="9"/>
      <c r="DX76" s="9"/>
      <c r="EC76" s="125"/>
      <c r="FA76" s="3"/>
    </row>
    <row r="77" spans="1:157" s="1" customFormat="1" x14ac:dyDescent="0.25">
      <c r="A77" s="113"/>
      <c r="B77" s="136"/>
      <c r="C77" s="8"/>
      <c r="G77" s="3"/>
      <c r="H77" s="4"/>
      <c r="I77" s="4"/>
      <c r="J77" s="4"/>
      <c r="K77" s="4"/>
      <c r="AR77" s="4"/>
      <c r="BC77" s="47"/>
      <c r="DC77" s="2"/>
      <c r="DT77" s="9"/>
      <c r="DU77" s="9"/>
      <c r="DV77" s="9"/>
      <c r="DW77" s="9"/>
      <c r="DX77" s="9"/>
      <c r="EC77" s="125"/>
      <c r="FA77" s="3"/>
    </row>
    <row r="78" spans="1:157" s="1" customFormat="1" x14ac:dyDescent="0.25">
      <c r="A78" s="113"/>
      <c r="B78" s="136"/>
      <c r="C78" s="8"/>
      <c r="G78" s="3"/>
      <c r="H78" s="4"/>
      <c r="I78" s="4"/>
      <c r="J78" s="4"/>
      <c r="K78" s="4"/>
      <c r="AR78" s="4"/>
      <c r="BC78" s="47"/>
      <c r="DC78" s="2"/>
      <c r="DT78" s="9"/>
      <c r="DU78" s="9"/>
      <c r="DV78" s="9"/>
      <c r="DW78" s="9"/>
      <c r="DX78" s="9"/>
      <c r="EC78" s="125"/>
      <c r="FA78" s="3"/>
    </row>
    <row r="79" spans="1:157" s="1" customFormat="1" x14ac:dyDescent="0.25">
      <c r="A79" s="113"/>
      <c r="B79" s="136"/>
      <c r="C79" s="8"/>
      <c r="G79" s="3"/>
      <c r="H79" s="4"/>
      <c r="I79" s="4"/>
      <c r="J79" s="4"/>
      <c r="K79" s="4"/>
      <c r="AR79" s="4"/>
      <c r="BC79" s="47"/>
      <c r="DC79" s="2"/>
      <c r="DT79" s="9"/>
      <c r="DU79" s="9"/>
      <c r="DV79" s="9"/>
      <c r="DW79" s="9"/>
      <c r="DX79" s="9"/>
      <c r="EC79" s="125"/>
      <c r="FA79" s="3"/>
    </row>
    <row r="80" spans="1:157" s="1" customFormat="1" x14ac:dyDescent="0.25">
      <c r="A80" s="113"/>
      <c r="B80" s="136"/>
      <c r="C80" s="8"/>
      <c r="G80" s="3"/>
      <c r="H80" s="4"/>
      <c r="I80" s="4"/>
      <c r="J80" s="4"/>
      <c r="K80" s="4"/>
      <c r="AR80" s="4"/>
      <c r="BC80" s="47"/>
      <c r="DC80" s="2"/>
      <c r="DT80" s="9"/>
      <c r="DU80" s="9"/>
      <c r="DV80" s="9"/>
      <c r="DW80" s="9"/>
      <c r="DX80" s="9"/>
      <c r="EC80" s="125"/>
      <c r="FA80" s="3"/>
    </row>
    <row r="81" spans="1:157" s="1" customFormat="1" x14ac:dyDescent="0.25">
      <c r="A81" s="113"/>
      <c r="B81" s="136"/>
      <c r="C81" s="8"/>
      <c r="G81" s="3"/>
      <c r="H81" s="4"/>
      <c r="I81" s="4"/>
      <c r="J81" s="4"/>
      <c r="K81" s="4"/>
      <c r="AR81" s="4"/>
      <c r="BC81" s="47"/>
      <c r="DC81" s="2"/>
      <c r="DT81" s="9"/>
      <c r="DU81" s="9"/>
      <c r="DV81" s="9"/>
      <c r="DW81" s="9"/>
      <c r="DX81" s="9"/>
      <c r="EC81" s="125"/>
      <c r="FA81" s="3"/>
    </row>
    <row r="82" spans="1:157" s="1" customFormat="1" x14ac:dyDescent="0.25">
      <c r="A82" s="113"/>
      <c r="B82" s="136"/>
      <c r="C82" s="8"/>
      <c r="G82" s="3"/>
      <c r="H82" s="4"/>
      <c r="I82" s="4"/>
      <c r="J82" s="4"/>
      <c r="K82" s="4"/>
      <c r="AR82" s="4"/>
      <c r="BC82" s="47"/>
      <c r="DC82" s="2"/>
      <c r="DT82" s="9"/>
      <c r="DU82" s="9"/>
      <c r="DV82" s="9"/>
      <c r="DW82" s="9"/>
      <c r="DX82" s="9"/>
      <c r="EC82" s="125"/>
      <c r="FA82" s="3"/>
    </row>
    <row r="83" spans="1:157" s="1" customFormat="1" x14ac:dyDescent="0.25">
      <c r="A83" s="113"/>
      <c r="B83" s="136"/>
      <c r="C83" s="8"/>
      <c r="G83" s="3"/>
      <c r="H83" s="4"/>
      <c r="I83" s="4"/>
      <c r="J83" s="4"/>
      <c r="K83" s="4"/>
      <c r="AR83" s="4"/>
      <c r="BC83" s="47"/>
      <c r="DC83" s="2"/>
      <c r="DT83" s="9"/>
      <c r="DU83" s="9"/>
      <c r="DV83" s="9"/>
      <c r="DW83" s="9"/>
      <c r="DX83" s="9"/>
      <c r="EC83" s="125"/>
      <c r="FA83" s="3"/>
    </row>
    <row r="84" spans="1:157" s="1" customFormat="1" x14ac:dyDescent="0.25">
      <c r="A84" s="113"/>
      <c r="B84" s="136"/>
      <c r="C84" s="8"/>
      <c r="G84" s="3"/>
      <c r="H84" s="4"/>
      <c r="I84" s="4"/>
      <c r="J84" s="4"/>
      <c r="K84" s="4"/>
      <c r="AR84" s="4"/>
      <c r="BC84" s="47"/>
      <c r="DC84" s="2"/>
      <c r="DT84" s="9"/>
      <c r="DU84" s="9"/>
      <c r="DV84" s="9"/>
      <c r="DW84" s="9"/>
      <c r="DX84" s="9"/>
      <c r="EC84" s="125"/>
      <c r="FA84" s="3"/>
    </row>
    <row r="85" spans="1:157" s="1" customFormat="1" x14ac:dyDescent="0.25">
      <c r="A85" s="113"/>
      <c r="B85" s="136"/>
      <c r="C85" s="8"/>
      <c r="G85" s="3"/>
      <c r="H85" s="4"/>
      <c r="I85" s="4"/>
      <c r="J85" s="4"/>
      <c r="K85" s="4"/>
      <c r="AR85" s="4"/>
      <c r="BC85" s="47"/>
      <c r="DC85" s="2"/>
      <c r="DT85" s="9"/>
      <c r="DU85" s="9"/>
      <c r="DV85" s="9"/>
      <c r="DW85" s="9"/>
      <c r="DX85" s="9"/>
      <c r="EC85" s="125"/>
      <c r="FA85" s="3"/>
    </row>
    <row r="86" spans="1:157" s="1" customFormat="1" x14ac:dyDescent="0.25">
      <c r="A86" s="113"/>
      <c r="B86" s="136"/>
      <c r="C86" s="8"/>
      <c r="G86" s="3"/>
      <c r="H86" s="4"/>
      <c r="I86" s="4"/>
      <c r="J86" s="4"/>
      <c r="K86" s="4"/>
      <c r="AR86" s="4"/>
      <c r="BC86" s="47"/>
      <c r="DC86" s="2"/>
      <c r="DT86" s="9"/>
      <c r="DU86" s="9"/>
      <c r="DV86" s="9"/>
      <c r="DW86" s="9"/>
      <c r="DX86" s="9"/>
      <c r="EC86" s="125"/>
      <c r="FA86" s="3"/>
    </row>
    <row r="87" spans="1:157" s="1" customFormat="1" x14ac:dyDescent="0.25">
      <c r="A87" s="113"/>
      <c r="B87" s="136"/>
      <c r="C87" s="8"/>
      <c r="G87" s="3"/>
      <c r="H87" s="4"/>
      <c r="I87" s="4"/>
      <c r="J87" s="4"/>
      <c r="K87" s="4"/>
      <c r="AR87" s="4"/>
      <c r="BC87" s="47"/>
      <c r="DC87" s="2"/>
      <c r="DT87" s="9"/>
      <c r="DU87" s="9"/>
      <c r="DV87" s="9"/>
      <c r="DW87" s="9"/>
      <c r="DX87" s="9"/>
      <c r="EC87" s="125"/>
      <c r="FA87" s="3"/>
    </row>
    <row r="88" spans="1:157" s="1" customFormat="1" x14ac:dyDescent="0.25">
      <c r="A88" s="113"/>
      <c r="B88" s="136"/>
      <c r="C88" s="8"/>
      <c r="G88" s="3"/>
      <c r="H88" s="4"/>
      <c r="I88" s="4"/>
      <c r="J88" s="4"/>
      <c r="K88" s="4"/>
      <c r="AR88" s="4"/>
      <c r="BC88" s="47"/>
      <c r="DC88" s="2"/>
      <c r="DT88" s="9"/>
      <c r="DU88" s="9"/>
      <c r="DV88" s="9"/>
      <c r="DW88" s="9"/>
      <c r="DX88" s="9"/>
      <c r="EC88" s="125"/>
      <c r="FA88" s="3"/>
    </row>
    <row r="89" spans="1:157" s="1" customFormat="1" x14ac:dyDescent="0.25">
      <c r="A89" s="113"/>
      <c r="B89" s="136"/>
      <c r="C89" s="8"/>
      <c r="G89" s="3"/>
      <c r="H89" s="4"/>
      <c r="I89" s="4"/>
      <c r="J89" s="4"/>
      <c r="K89" s="4"/>
      <c r="AR89" s="4"/>
      <c r="BC89" s="47"/>
      <c r="DC89" s="2"/>
      <c r="DT89" s="9"/>
      <c r="DU89" s="9"/>
      <c r="DV89" s="9"/>
      <c r="DW89" s="9"/>
      <c r="DX89" s="9"/>
      <c r="EC89" s="125"/>
      <c r="FA89" s="3"/>
    </row>
    <row r="90" spans="1:157" s="1" customFormat="1" x14ac:dyDescent="0.25">
      <c r="A90" s="113"/>
      <c r="B90" s="136"/>
      <c r="C90" s="8"/>
      <c r="G90" s="3"/>
      <c r="H90" s="4"/>
      <c r="I90" s="4"/>
      <c r="J90" s="4"/>
      <c r="K90" s="4"/>
      <c r="AR90" s="4"/>
      <c r="BC90" s="47"/>
      <c r="DC90" s="2"/>
      <c r="DT90" s="9"/>
      <c r="DU90" s="9"/>
      <c r="DV90" s="9"/>
      <c r="DW90" s="9"/>
      <c r="DX90" s="9"/>
      <c r="EC90" s="125"/>
      <c r="FA90" s="3"/>
    </row>
    <row r="91" spans="1:157" s="1" customFormat="1" x14ac:dyDescent="0.25">
      <c r="A91" s="113"/>
      <c r="B91" s="136"/>
      <c r="C91" s="8"/>
      <c r="G91" s="3"/>
      <c r="H91" s="4"/>
      <c r="I91" s="4"/>
      <c r="J91" s="4"/>
      <c r="K91" s="4"/>
      <c r="AR91" s="4"/>
      <c r="BC91" s="47"/>
      <c r="DC91" s="2"/>
      <c r="DT91" s="9"/>
      <c r="DU91" s="9"/>
      <c r="DV91" s="9"/>
      <c r="DW91" s="9"/>
      <c r="DX91" s="9"/>
      <c r="EC91" s="125"/>
      <c r="FA91" s="3"/>
    </row>
    <row r="92" spans="1:157" s="1" customFormat="1" x14ac:dyDescent="0.25">
      <c r="A92" s="113"/>
      <c r="B92" s="136"/>
      <c r="C92" s="8"/>
      <c r="G92" s="3"/>
      <c r="H92" s="4"/>
      <c r="I92" s="4"/>
      <c r="J92" s="4"/>
      <c r="K92" s="4"/>
      <c r="AR92" s="4"/>
      <c r="BC92" s="47"/>
      <c r="DC92" s="2"/>
      <c r="DT92" s="9"/>
      <c r="DU92" s="9"/>
      <c r="DV92" s="9"/>
      <c r="DW92" s="9"/>
      <c r="DX92" s="9"/>
      <c r="EC92" s="125"/>
      <c r="FA92" s="3"/>
    </row>
    <row r="93" spans="1:157" s="1" customFormat="1" x14ac:dyDescent="0.25">
      <c r="A93" s="113"/>
      <c r="B93" s="136"/>
      <c r="C93" s="8"/>
      <c r="G93" s="3"/>
      <c r="H93" s="4"/>
      <c r="I93" s="4"/>
      <c r="J93" s="4"/>
      <c r="K93" s="4"/>
      <c r="AR93" s="4"/>
      <c r="BC93" s="47"/>
      <c r="DC93" s="2"/>
      <c r="DT93" s="9"/>
      <c r="DU93" s="9"/>
      <c r="DV93" s="9"/>
      <c r="DW93" s="9"/>
      <c r="DX93" s="9"/>
      <c r="EC93" s="125"/>
      <c r="FA93" s="3"/>
    </row>
    <row r="94" spans="1:157" s="1" customFormat="1" x14ac:dyDescent="0.25">
      <c r="A94" s="113"/>
      <c r="B94" s="136"/>
      <c r="C94" s="8"/>
      <c r="G94" s="3"/>
      <c r="H94" s="4"/>
      <c r="I94" s="4"/>
      <c r="J94" s="4"/>
      <c r="K94" s="4"/>
      <c r="AR94" s="4"/>
      <c r="BC94" s="47"/>
      <c r="DC94" s="2"/>
      <c r="DT94" s="9"/>
      <c r="DU94" s="9"/>
      <c r="DV94" s="9"/>
      <c r="DW94" s="9"/>
      <c r="DX94" s="9"/>
      <c r="EC94" s="125"/>
      <c r="FA94" s="3"/>
    </row>
    <row r="95" spans="1:157" s="1" customFormat="1" x14ac:dyDescent="0.25">
      <c r="A95" s="113"/>
      <c r="B95" s="136"/>
      <c r="C95" s="8"/>
      <c r="G95" s="3"/>
      <c r="H95" s="4"/>
      <c r="I95" s="4"/>
      <c r="J95" s="4"/>
      <c r="K95" s="4"/>
      <c r="AR95" s="4"/>
      <c r="BC95" s="47"/>
      <c r="DC95" s="2"/>
      <c r="DT95" s="9"/>
      <c r="DU95" s="9"/>
      <c r="DV95" s="9"/>
      <c r="DW95" s="9"/>
      <c r="DX95" s="9"/>
      <c r="EC95" s="125"/>
      <c r="FA95" s="3"/>
    </row>
    <row r="96" spans="1:157" s="1" customFormat="1" x14ac:dyDescent="0.25">
      <c r="A96" s="113"/>
      <c r="B96" s="136"/>
      <c r="C96" s="8"/>
      <c r="G96" s="3"/>
      <c r="H96" s="4"/>
      <c r="I96" s="4"/>
      <c r="J96" s="4"/>
      <c r="K96" s="4"/>
      <c r="AR96" s="4"/>
      <c r="BC96" s="47"/>
      <c r="DC96" s="2"/>
      <c r="DT96" s="9"/>
      <c r="DU96" s="9"/>
      <c r="DV96" s="9"/>
      <c r="DW96" s="9"/>
      <c r="DX96" s="9"/>
      <c r="EC96" s="125"/>
      <c r="FA96" s="3"/>
    </row>
    <row r="97" spans="1:157" s="1" customFormat="1" x14ac:dyDescent="0.25">
      <c r="A97" s="113"/>
      <c r="B97" s="136"/>
      <c r="C97" s="8"/>
      <c r="G97" s="3"/>
      <c r="H97" s="4"/>
      <c r="I97" s="4"/>
      <c r="J97" s="4"/>
      <c r="K97" s="4"/>
      <c r="AR97" s="4"/>
      <c r="BC97" s="47"/>
      <c r="DC97" s="2"/>
      <c r="DT97" s="9"/>
      <c r="DU97" s="9"/>
      <c r="DV97" s="9"/>
      <c r="DW97" s="9"/>
      <c r="DX97" s="9"/>
      <c r="EC97" s="125"/>
      <c r="FA97" s="3"/>
    </row>
    <row r="98" spans="1:157" s="1" customFormat="1" x14ac:dyDescent="0.25">
      <c r="A98" s="113"/>
      <c r="B98" s="136"/>
      <c r="C98" s="8"/>
      <c r="G98" s="3"/>
      <c r="H98" s="4"/>
      <c r="I98" s="4"/>
      <c r="J98" s="4"/>
      <c r="K98" s="4"/>
      <c r="AR98" s="4"/>
      <c r="BC98" s="47"/>
      <c r="DC98" s="2"/>
      <c r="DT98" s="9"/>
      <c r="DU98" s="9"/>
      <c r="DV98" s="9"/>
      <c r="DW98" s="9"/>
      <c r="DX98" s="9"/>
      <c r="EC98" s="125"/>
      <c r="FA98" s="3"/>
    </row>
    <row r="99" spans="1:157" s="1" customFormat="1" x14ac:dyDescent="0.25">
      <c r="A99" s="113"/>
      <c r="B99" s="136"/>
      <c r="C99" s="8"/>
      <c r="G99" s="3"/>
      <c r="H99" s="4"/>
      <c r="I99" s="4"/>
      <c r="J99" s="4"/>
      <c r="K99" s="4"/>
      <c r="AR99" s="4"/>
      <c r="BC99" s="47"/>
      <c r="DC99" s="2"/>
      <c r="DT99" s="9"/>
      <c r="DU99" s="9"/>
      <c r="DV99" s="9"/>
      <c r="DW99" s="9"/>
      <c r="DX99" s="9"/>
      <c r="EC99" s="125"/>
      <c r="FA99" s="3"/>
    </row>
    <row r="100" spans="1:157" s="1" customFormat="1" x14ac:dyDescent="0.25">
      <c r="A100" s="113"/>
      <c r="B100" s="136"/>
      <c r="C100" s="8"/>
      <c r="G100" s="3"/>
      <c r="H100" s="4"/>
      <c r="I100" s="4"/>
      <c r="J100" s="4"/>
      <c r="K100" s="4"/>
      <c r="AR100" s="4"/>
      <c r="BC100" s="47"/>
      <c r="DC100" s="2"/>
      <c r="DT100" s="9"/>
      <c r="DU100" s="9"/>
      <c r="DV100" s="9"/>
      <c r="DW100" s="9"/>
      <c r="DX100" s="9"/>
      <c r="EC100" s="125"/>
      <c r="FA100" s="3"/>
    </row>
    <row r="101" spans="1:157" s="1" customFormat="1" x14ac:dyDescent="0.25">
      <c r="A101" s="113"/>
      <c r="B101" s="136"/>
      <c r="C101" s="8"/>
      <c r="G101" s="3"/>
      <c r="H101" s="4"/>
      <c r="I101" s="4"/>
      <c r="J101" s="4"/>
      <c r="K101" s="4"/>
      <c r="AR101" s="4"/>
      <c r="BC101" s="47"/>
      <c r="DC101" s="2"/>
      <c r="DT101" s="9"/>
      <c r="DU101" s="9"/>
      <c r="DV101" s="9"/>
      <c r="DW101" s="9"/>
      <c r="DX101" s="9"/>
      <c r="EC101" s="125"/>
      <c r="FA101" s="3"/>
    </row>
    <row r="102" spans="1:157" s="1" customFormat="1" x14ac:dyDescent="0.25">
      <c r="A102" s="113"/>
      <c r="B102" s="136"/>
      <c r="C102" s="8"/>
      <c r="G102" s="3"/>
      <c r="H102" s="4"/>
      <c r="I102" s="4"/>
      <c r="J102" s="4"/>
      <c r="K102" s="4"/>
      <c r="AR102" s="4"/>
      <c r="BC102" s="47"/>
      <c r="DC102" s="2"/>
      <c r="DT102" s="9"/>
      <c r="DU102" s="9"/>
      <c r="DV102" s="9"/>
      <c r="DW102" s="9"/>
      <c r="DX102" s="9"/>
      <c r="EC102" s="125"/>
      <c r="FA102" s="3"/>
    </row>
    <row r="103" spans="1:157" s="1" customFormat="1" x14ac:dyDescent="0.25">
      <c r="A103" s="113"/>
      <c r="B103" s="136"/>
      <c r="C103" s="8"/>
      <c r="G103" s="3"/>
      <c r="H103" s="4"/>
      <c r="I103" s="4"/>
      <c r="J103" s="4"/>
      <c r="K103" s="4"/>
      <c r="AR103" s="4"/>
      <c r="BC103" s="47"/>
      <c r="DC103" s="2"/>
      <c r="DT103" s="9"/>
      <c r="DU103" s="9"/>
      <c r="DV103" s="9"/>
      <c r="DW103" s="9"/>
      <c r="DX103" s="9"/>
      <c r="EC103" s="125"/>
      <c r="FA103" s="3"/>
    </row>
    <row r="104" spans="1:157" s="1" customFormat="1" x14ac:dyDescent="0.25">
      <c r="A104" s="113"/>
      <c r="B104" s="136"/>
      <c r="C104" s="8"/>
      <c r="G104" s="3"/>
      <c r="H104" s="4"/>
      <c r="I104" s="4"/>
      <c r="J104" s="4"/>
      <c r="K104" s="4"/>
      <c r="AR104" s="4"/>
      <c r="BC104" s="47"/>
      <c r="DC104" s="2"/>
      <c r="DT104" s="9"/>
      <c r="DU104" s="9"/>
      <c r="DV104" s="9"/>
      <c r="DW104" s="9"/>
      <c r="DX104" s="9"/>
      <c r="EC104" s="125"/>
      <c r="FA104" s="3"/>
    </row>
    <row r="105" spans="1:157" s="1" customFormat="1" x14ac:dyDescent="0.25">
      <c r="A105" s="113"/>
      <c r="B105" s="136"/>
      <c r="C105" s="8"/>
      <c r="G105" s="3"/>
      <c r="H105" s="4"/>
      <c r="I105" s="4"/>
      <c r="J105" s="4"/>
      <c r="K105" s="4"/>
      <c r="AR105" s="4"/>
      <c r="BC105" s="47"/>
      <c r="DC105" s="2"/>
      <c r="DT105" s="9"/>
      <c r="DU105" s="9"/>
      <c r="DV105" s="9"/>
      <c r="DW105" s="9"/>
      <c r="DX105" s="9"/>
      <c r="EC105" s="125"/>
      <c r="FA105" s="3"/>
    </row>
    <row r="106" spans="1:157" s="1" customFormat="1" x14ac:dyDescent="0.25">
      <c r="A106" s="113"/>
      <c r="B106" s="136"/>
      <c r="C106" s="8"/>
      <c r="G106" s="3"/>
      <c r="H106" s="4"/>
      <c r="I106" s="4"/>
      <c r="J106" s="4"/>
      <c r="K106" s="4"/>
      <c r="AR106" s="4"/>
      <c r="BC106" s="47"/>
      <c r="DC106" s="2"/>
      <c r="DT106" s="9"/>
      <c r="DU106" s="9"/>
      <c r="DV106" s="9"/>
      <c r="DW106" s="9"/>
      <c r="DX106" s="9"/>
      <c r="EC106" s="125"/>
      <c r="FA106" s="3"/>
    </row>
    <row r="107" spans="1:157" s="1" customFormat="1" x14ac:dyDescent="0.25">
      <c r="A107" s="113"/>
      <c r="B107" s="136"/>
      <c r="C107" s="8"/>
      <c r="G107" s="3"/>
      <c r="H107" s="4"/>
      <c r="I107" s="4"/>
      <c r="J107" s="4"/>
      <c r="K107" s="4"/>
      <c r="AR107" s="4"/>
      <c r="BC107" s="47"/>
      <c r="DC107" s="2"/>
      <c r="DT107" s="9"/>
      <c r="DU107" s="9"/>
      <c r="DV107" s="9"/>
      <c r="DW107" s="9"/>
      <c r="DX107" s="9"/>
      <c r="EC107" s="125"/>
      <c r="FA107" s="3"/>
    </row>
    <row r="108" spans="1:157" s="1" customFormat="1" x14ac:dyDescent="0.25">
      <c r="A108" s="113"/>
      <c r="B108" s="136"/>
      <c r="C108" s="8"/>
      <c r="G108" s="3"/>
      <c r="H108" s="4"/>
      <c r="I108" s="4"/>
      <c r="J108" s="4"/>
      <c r="K108" s="4"/>
      <c r="AR108" s="4"/>
      <c r="BC108" s="47"/>
      <c r="DC108" s="2"/>
      <c r="DT108" s="9"/>
      <c r="DU108" s="9"/>
      <c r="DV108" s="9"/>
      <c r="DW108" s="9"/>
      <c r="DX108" s="9"/>
      <c r="EC108" s="125"/>
      <c r="FA108" s="3"/>
    </row>
    <row r="109" spans="1:157" s="1" customFormat="1" x14ac:dyDescent="0.25">
      <c r="A109" s="113"/>
      <c r="B109" s="136"/>
      <c r="C109" s="8"/>
      <c r="G109" s="3"/>
      <c r="H109" s="4"/>
      <c r="I109" s="4"/>
      <c r="J109" s="4"/>
      <c r="K109" s="4"/>
      <c r="AR109" s="4"/>
      <c r="BC109" s="47"/>
      <c r="DC109" s="2"/>
      <c r="DT109" s="9"/>
      <c r="DU109" s="9"/>
      <c r="DV109" s="9"/>
      <c r="DW109" s="9"/>
      <c r="DX109" s="9"/>
      <c r="EC109" s="125"/>
      <c r="FA109" s="3"/>
    </row>
    <row r="110" spans="1:157" s="1" customFormat="1" x14ac:dyDescent="0.25">
      <c r="A110" s="113"/>
      <c r="B110" s="136"/>
      <c r="C110" s="8"/>
      <c r="G110" s="3"/>
      <c r="H110" s="4"/>
      <c r="I110" s="4"/>
      <c r="J110" s="4"/>
      <c r="K110" s="4"/>
      <c r="AR110" s="4"/>
      <c r="BC110" s="47"/>
      <c r="DC110" s="2"/>
      <c r="DT110" s="9"/>
      <c r="DU110" s="9"/>
      <c r="DV110" s="9"/>
      <c r="DW110" s="9"/>
      <c r="DX110" s="9"/>
      <c r="EC110" s="125"/>
      <c r="FA110" s="3"/>
    </row>
    <row r="111" spans="1:157" s="1" customFormat="1" x14ac:dyDescent="0.25">
      <c r="A111" s="113"/>
      <c r="B111" s="136"/>
      <c r="C111" s="8"/>
      <c r="G111" s="3"/>
      <c r="H111" s="4"/>
      <c r="I111" s="4"/>
      <c r="J111" s="4"/>
      <c r="K111" s="4"/>
      <c r="AR111" s="4"/>
      <c r="BC111" s="47"/>
      <c r="DC111" s="2"/>
      <c r="DT111" s="9"/>
      <c r="DU111" s="9"/>
      <c r="DV111" s="9"/>
      <c r="DW111" s="9"/>
      <c r="DX111" s="9"/>
      <c r="EC111" s="125"/>
      <c r="FA111" s="3"/>
    </row>
    <row r="112" spans="1:157" s="1" customFormat="1" x14ac:dyDescent="0.25">
      <c r="A112" s="113"/>
      <c r="B112" s="136"/>
      <c r="C112" s="8"/>
      <c r="G112" s="3"/>
      <c r="H112" s="4"/>
      <c r="I112" s="4"/>
      <c r="J112" s="4"/>
      <c r="K112" s="4"/>
      <c r="AR112" s="4"/>
      <c r="BC112" s="47"/>
      <c r="DC112" s="2"/>
      <c r="DT112" s="9"/>
      <c r="DU112" s="9"/>
      <c r="DV112" s="9"/>
      <c r="DW112" s="9"/>
      <c r="DX112" s="9"/>
      <c r="EC112" s="125"/>
      <c r="FA112" s="3"/>
    </row>
    <row r="113" spans="1:157" s="1" customFormat="1" x14ac:dyDescent="0.25">
      <c r="A113" s="113"/>
      <c r="B113" s="136"/>
      <c r="C113" s="8"/>
      <c r="G113" s="3"/>
      <c r="H113" s="4"/>
      <c r="I113" s="4"/>
      <c r="J113" s="4"/>
      <c r="K113" s="4"/>
      <c r="AR113" s="4"/>
      <c r="BC113" s="47"/>
      <c r="DC113" s="2"/>
      <c r="DT113" s="9"/>
      <c r="DU113" s="9"/>
      <c r="DV113" s="9"/>
      <c r="DW113" s="9"/>
      <c r="DX113" s="9"/>
      <c r="EC113" s="125"/>
      <c r="FA113" s="3"/>
    </row>
    <row r="114" spans="1:157" s="1" customFormat="1" x14ac:dyDescent="0.25">
      <c r="A114" s="113"/>
      <c r="B114" s="136"/>
      <c r="C114" s="8"/>
      <c r="G114" s="3"/>
      <c r="H114" s="4"/>
      <c r="I114" s="4"/>
      <c r="J114" s="4"/>
      <c r="K114" s="4"/>
      <c r="AR114" s="4"/>
      <c r="BC114" s="47"/>
      <c r="DC114" s="2"/>
      <c r="DT114" s="9"/>
      <c r="DU114" s="9"/>
      <c r="DV114" s="9"/>
      <c r="DW114" s="9"/>
      <c r="DX114" s="9"/>
      <c r="EC114" s="125"/>
      <c r="FA114" s="3"/>
    </row>
    <row r="115" spans="1:157" s="1" customFormat="1" x14ac:dyDescent="0.25">
      <c r="A115" s="113"/>
      <c r="B115" s="136"/>
      <c r="C115" s="8"/>
      <c r="G115" s="3"/>
      <c r="H115" s="4"/>
      <c r="I115" s="4"/>
      <c r="J115" s="4"/>
      <c r="K115" s="4"/>
      <c r="AR115" s="4"/>
      <c r="BC115" s="47"/>
      <c r="DC115" s="2"/>
      <c r="DT115" s="9"/>
      <c r="DU115" s="9"/>
      <c r="DV115" s="9"/>
      <c r="DW115" s="9"/>
      <c r="DX115" s="9"/>
      <c r="EC115" s="125"/>
      <c r="FA115" s="3"/>
    </row>
    <row r="116" spans="1:157" s="1" customFormat="1" x14ac:dyDescent="0.25">
      <c r="A116" s="113"/>
      <c r="B116" s="136"/>
      <c r="C116" s="8"/>
      <c r="G116" s="3"/>
      <c r="H116" s="4"/>
      <c r="I116" s="4"/>
      <c r="J116" s="4"/>
      <c r="K116" s="4"/>
      <c r="AR116" s="4"/>
      <c r="BC116" s="47"/>
      <c r="DC116" s="2"/>
      <c r="DT116" s="9"/>
      <c r="DU116" s="9"/>
      <c r="DV116" s="9"/>
      <c r="DW116" s="9"/>
      <c r="DX116" s="9"/>
      <c r="EC116" s="125"/>
      <c r="FA116" s="3"/>
    </row>
    <row r="117" spans="1:157" s="1" customFormat="1" x14ac:dyDescent="0.25">
      <c r="A117" s="113"/>
      <c r="B117" s="136"/>
      <c r="C117" s="8"/>
      <c r="G117" s="3"/>
      <c r="H117" s="4"/>
      <c r="I117" s="4"/>
      <c r="J117" s="4"/>
      <c r="K117" s="4"/>
      <c r="AR117" s="4"/>
      <c r="BC117" s="47"/>
      <c r="DC117" s="2"/>
      <c r="DT117" s="9"/>
      <c r="DU117" s="9"/>
      <c r="DV117" s="9"/>
      <c r="DW117" s="9"/>
      <c r="DX117" s="9"/>
      <c r="EC117" s="125"/>
      <c r="FA117" s="3"/>
    </row>
    <row r="118" spans="1:157" s="1" customFormat="1" x14ac:dyDescent="0.25">
      <c r="A118" s="113"/>
      <c r="B118" s="136"/>
      <c r="C118" s="8"/>
      <c r="G118" s="3"/>
      <c r="H118" s="4"/>
      <c r="I118" s="4"/>
      <c r="J118" s="4"/>
      <c r="K118" s="4"/>
      <c r="AR118" s="4"/>
      <c r="BC118" s="47"/>
      <c r="DC118" s="2"/>
      <c r="DT118" s="9"/>
      <c r="DU118" s="9"/>
      <c r="DV118" s="9"/>
      <c r="DW118" s="9"/>
      <c r="DX118" s="9"/>
      <c r="EC118" s="125"/>
      <c r="FA118" s="3"/>
    </row>
    <row r="119" spans="1:157" s="1" customFormat="1" x14ac:dyDescent="0.25">
      <c r="A119" s="113"/>
      <c r="B119" s="136"/>
      <c r="C119" s="8"/>
      <c r="G119" s="3"/>
      <c r="H119" s="4"/>
      <c r="I119" s="4"/>
      <c r="J119" s="4"/>
      <c r="K119" s="4"/>
      <c r="AR119" s="4"/>
      <c r="BC119" s="47"/>
      <c r="DC119" s="2"/>
      <c r="DT119" s="9"/>
      <c r="DU119" s="9"/>
      <c r="DV119" s="9"/>
      <c r="DW119" s="9"/>
      <c r="DX119" s="9"/>
      <c r="EC119" s="125"/>
      <c r="FA119" s="3"/>
    </row>
    <row r="120" spans="1:157" s="1" customFormat="1" x14ac:dyDescent="0.25">
      <c r="A120" s="113"/>
      <c r="B120" s="136"/>
      <c r="C120" s="8"/>
      <c r="G120" s="3"/>
      <c r="H120" s="4"/>
      <c r="I120" s="4"/>
      <c r="J120" s="4"/>
      <c r="K120" s="4"/>
      <c r="AR120" s="4"/>
      <c r="BC120" s="47"/>
      <c r="DC120" s="2"/>
      <c r="DT120" s="9"/>
      <c r="DU120" s="9"/>
      <c r="DV120" s="9"/>
      <c r="DW120" s="9"/>
      <c r="DX120" s="9"/>
      <c r="EC120" s="125"/>
      <c r="FA120" s="3"/>
    </row>
    <row r="121" spans="1:157" s="1" customFormat="1" x14ac:dyDescent="0.25">
      <c r="A121" s="113"/>
      <c r="B121" s="136"/>
      <c r="C121" s="8"/>
      <c r="G121" s="3"/>
      <c r="H121" s="4"/>
      <c r="I121" s="4"/>
      <c r="J121" s="4"/>
      <c r="K121" s="4"/>
      <c r="AR121" s="4"/>
      <c r="BC121" s="47"/>
      <c r="DC121" s="2"/>
      <c r="DT121" s="9"/>
      <c r="DU121" s="9"/>
      <c r="DV121" s="9"/>
      <c r="DW121" s="9"/>
      <c r="DX121" s="9"/>
      <c r="EC121" s="125"/>
      <c r="FA121" s="3"/>
    </row>
    <row r="122" spans="1:157" s="1" customFormat="1" x14ac:dyDescent="0.25">
      <c r="A122" s="113"/>
      <c r="B122" s="136"/>
      <c r="C122" s="8"/>
      <c r="G122" s="3"/>
      <c r="H122" s="4"/>
      <c r="I122" s="4"/>
      <c r="J122" s="4"/>
      <c r="K122" s="4"/>
      <c r="AR122" s="4"/>
      <c r="BC122" s="47"/>
      <c r="DC122" s="2"/>
      <c r="DT122" s="9"/>
      <c r="DU122" s="9"/>
      <c r="DV122" s="9"/>
      <c r="DW122" s="9"/>
      <c r="DX122" s="9"/>
      <c r="EC122" s="125"/>
      <c r="FA122" s="3"/>
    </row>
    <row r="123" spans="1:157" s="1" customFormat="1" x14ac:dyDescent="0.25">
      <c r="A123" s="113"/>
      <c r="B123" s="136"/>
      <c r="C123" s="8"/>
      <c r="G123" s="3"/>
      <c r="H123" s="4"/>
      <c r="I123" s="4"/>
      <c r="J123" s="4"/>
      <c r="K123" s="4"/>
      <c r="AR123" s="4"/>
      <c r="BC123" s="47"/>
      <c r="DC123" s="2"/>
      <c r="DT123" s="9"/>
      <c r="DU123" s="9"/>
      <c r="DV123" s="9"/>
      <c r="DW123" s="9"/>
      <c r="DX123" s="9"/>
      <c r="EC123" s="125"/>
      <c r="FA123" s="3"/>
    </row>
    <row r="124" spans="1:157" s="1" customFormat="1" x14ac:dyDescent="0.25">
      <c r="A124" s="113"/>
      <c r="B124" s="136"/>
      <c r="C124" s="8"/>
      <c r="G124" s="3"/>
      <c r="H124" s="4"/>
      <c r="I124" s="4"/>
      <c r="J124" s="4"/>
      <c r="K124" s="4"/>
      <c r="AR124" s="4"/>
      <c r="BC124" s="47"/>
      <c r="DC124" s="2"/>
      <c r="DT124" s="9"/>
      <c r="DU124" s="9"/>
      <c r="DV124" s="9"/>
      <c r="DW124" s="9"/>
      <c r="DX124" s="9"/>
      <c r="EC124" s="125"/>
      <c r="FA124" s="3"/>
    </row>
    <row r="125" spans="1:157" s="1" customFormat="1" x14ac:dyDescent="0.25">
      <c r="A125" s="113"/>
      <c r="B125" s="136"/>
      <c r="C125" s="8"/>
      <c r="G125" s="3"/>
      <c r="H125" s="4"/>
      <c r="I125" s="4"/>
      <c r="J125" s="4"/>
      <c r="K125" s="4"/>
      <c r="AR125" s="4"/>
      <c r="BC125" s="47"/>
      <c r="DC125" s="2"/>
      <c r="DT125" s="9"/>
      <c r="DU125" s="9"/>
      <c r="DV125" s="9"/>
      <c r="DW125" s="9"/>
      <c r="DX125" s="9"/>
      <c r="EC125" s="125"/>
      <c r="FA125" s="3"/>
    </row>
    <row r="126" spans="1:157" s="1" customFormat="1" x14ac:dyDescent="0.25">
      <c r="A126" s="113"/>
      <c r="B126" s="136"/>
      <c r="C126" s="8"/>
      <c r="G126" s="3"/>
      <c r="H126" s="4"/>
      <c r="I126" s="4"/>
      <c r="J126" s="4"/>
      <c r="K126" s="4"/>
      <c r="AR126" s="4"/>
      <c r="BC126" s="47"/>
      <c r="DC126" s="2"/>
      <c r="DT126" s="9"/>
      <c r="DU126" s="9"/>
      <c r="DV126" s="9"/>
      <c r="DW126" s="9"/>
      <c r="DX126" s="9"/>
      <c r="EC126" s="125"/>
      <c r="FA126" s="3"/>
    </row>
    <row r="127" spans="1:157" s="1" customFormat="1" x14ac:dyDescent="0.25">
      <c r="A127" s="113"/>
      <c r="B127" s="136"/>
      <c r="C127" s="8"/>
      <c r="G127" s="3"/>
      <c r="H127" s="4"/>
      <c r="I127" s="4"/>
      <c r="J127" s="4"/>
      <c r="K127" s="4"/>
      <c r="AR127" s="4"/>
      <c r="BC127" s="47"/>
      <c r="DC127" s="2"/>
      <c r="DT127" s="9"/>
      <c r="DU127" s="9"/>
      <c r="DV127" s="9"/>
      <c r="DW127" s="9"/>
      <c r="DX127" s="9"/>
      <c r="EC127" s="125"/>
      <c r="FA127" s="3"/>
    </row>
    <row r="128" spans="1:157" s="1" customFormat="1" x14ac:dyDescent="0.25">
      <c r="A128" s="113"/>
      <c r="B128" s="136"/>
      <c r="C128" s="8"/>
      <c r="G128" s="3"/>
      <c r="H128" s="4"/>
      <c r="I128" s="4"/>
      <c r="J128" s="4"/>
      <c r="K128" s="4"/>
      <c r="AR128" s="4"/>
      <c r="BC128" s="47"/>
      <c r="DC128" s="2"/>
      <c r="DT128" s="9"/>
      <c r="DU128" s="9"/>
      <c r="DV128" s="9"/>
      <c r="DW128" s="9"/>
      <c r="DX128" s="9"/>
      <c r="EC128" s="125"/>
      <c r="FA128" s="5"/>
    </row>
    <row r="129" spans="1:157" s="1" customFormat="1" x14ac:dyDescent="0.25">
      <c r="A129" s="113"/>
      <c r="B129" s="136"/>
      <c r="C129" s="8"/>
      <c r="G129" s="3"/>
      <c r="H129" s="4"/>
      <c r="I129" s="4"/>
      <c r="J129" s="4"/>
      <c r="K129" s="4"/>
      <c r="AR129" s="4"/>
      <c r="BC129" s="47"/>
      <c r="DC129" s="2"/>
      <c r="DT129" s="9"/>
      <c r="DU129" s="9"/>
      <c r="DV129" s="9"/>
      <c r="DW129" s="9"/>
      <c r="DX129" s="9"/>
      <c r="EC129" s="125"/>
      <c r="FA129" s="5"/>
    </row>
    <row r="130" spans="1:157" s="1" customFormat="1" x14ac:dyDescent="0.25">
      <c r="A130" s="113"/>
      <c r="B130" s="136"/>
      <c r="C130" s="8"/>
      <c r="G130" s="3"/>
      <c r="H130" s="4"/>
      <c r="I130" s="4"/>
      <c r="J130" s="4"/>
      <c r="K130" s="4"/>
      <c r="AR130" s="4"/>
      <c r="BC130" s="47"/>
      <c r="DC130" s="2"/>
      <c r="DT130" s="9"/>
      <c r="DU130" s="9"/>
      <c r="DV130" s="9"/>
      <c r="DW130" s="9"/>
      <c r="DX130" s="9"/>
      <c r="EC130" s="125"/>
      <c r="FA130" s="5"/>
    </row>
    <row r="131" spans="1:157" s="1" customFormat="1" x14ac:dyDescent="0.25">
      <c r="A131" s="113"/>
      <c r="B131" s="136"/>
      <c r="C131" s="8"/>
      <c r="G131" s="3"/>
      <c r="H131" s="4"/>
      <c r="I131" s="4"/>
      <c r="J131" s="4"/>
      <c r="K131" s="4"/>
      <c r="AR131" s="4"/>
      <c r="BC131" s="47"/>
      <c r="DC131" s="2"/>
      <c r="DT131" s="9"/>
      <c r="DU131" s="9"/>
      <c r="DV131" s="9"/>
      <c r="DW131" s="9"/>
      <c r="DX131" s="9"/>
      <c r="EC131" s="125"/>
      <c r="FA131" s="5"/>
    </row>
    <row r="132" spans="1:157" s="1" customFormat="1" x14ac:dyDescent="0.25">
      <c r="A132" s="113"/>
      <c r="B132" s="136"/>
      <c r="C132" s="8"/>
      <c r="G132" s="3"/>
      <c r="H132" s="4"/>
      <c r="I132" s="4"/>
      <c r="J132" s="4"/>
      <c r="K132" s="4"/>
      <c r="AR132" s="4"/>
      <c r="BC132" s="47"/>
      <c r="DC132" s="2"/>
      <c r="DT132" s="9"/>
      <c r="DU132" s="9"/>
      <c r="DV132" s="9"/>
      <c r="DW132" s="9"/>
      <c r="DX132" s="9"/>
      <c r="EC132" s="125"/>
      <c r="FA132" s="5"/>
    </row>
    <row r="133" spans="1:157" s="1" customFormat="1" x14ac:dyDescent="0.25">
      <c r="A133" s="113"/>
      <c r="B133" s="136"/>
      <c r="C133" s="8"/>
      <c r="G133" s="3"/>
      <c r="H133" s="4"/>
      <c r="I133" s="4"/>
      <c r="J133" s="4"/>
      <c r="K133" s="4"/>
      <c r="AR133" s="4"/>
      <c r="BC133" s="47"/>
      <c r="DC133" s="2"/>
      <c r="DT133" s="9"/>
      <c r="DU133" s="9"/>
      <c r="DV133" s="9"/>
      <c r="DW133" s="9"/>
      <c r="DX133" s="9"/>
      <c r="EC133" s="125"/>
      <c r="FA133" s="5"/>
    </row>
    <row r="134" spans="1:157" s="1" customFormat="1" x14ac:dyDescent="0.25">
      <c r="A134" s="113"/>
      <c r="B134" s="136"/>
      <c r="C134" s="8"/>
      <c r="G134" s="3"/>
      <c r="H134" s="4"/>
      <c r="I134" s="4"/>
      <c r="J134" s="4"/>
      <c r="K134" s="4"/>
      <c r="AR134" s="4"/>
      <c r="BC134" s="47"/>
      <c r="DC134" s="2"/>
      <c r="DT134" s="9"/>
      <c r="DU134" s="9"/>
      <c r="DV134" s="9"/>
      <c r="DW134" s="9"/>
      <c r="DX134" s="9"/>
      <c r="EC134" s="125"/>
      <c r="FA134" s="5"/>
    </row>
    <row r="135" spans="1:157" s="1" customFormat="1" x14ac:dyDescent="0.25">
      <c r="A135" s="113"/>
      <c r="B135" s="136"/>
      <c r="C135" s="8"/>
      <c r="G135" s="3"/>
      <c r="H135" s="4"/>
      <c r="I135" s="4"/>
      <c r="J135" s="4"/>
      <c r="K135" s="4"/>
      <c r="AR135" s="4"/>
      <c r="BC135" s="47"/>
      <c r="DC135" s="2"/>
      <c r="DT135" s="9"/>
      <c r="DU135" s="9"/>
      <c r="DV135" s="9"/>
      <c r="DW135" s="9"/>
      <c r="DX135" s="9"/>
      <c r="EC135" s="125"/>
      <c r="FA135" s="5"/>
    </row>
    <row r="136" spans="1:157" s="1" customFormat="1" x14ac:dyDescent="0.25">
      <c r="A136" s="113"/>
      <c r="B136" s="136"/>
      <c r="C136" s="8"/>
      <c r="G136" s="3"/>
      <c r="H136" s="4"/>
      <c r="I136" s="4"/>
      <c r="J136" s="4"/>
      <c r="K136" s="4"/>
      <c r="AR136" s="4"/>
      <c r="BC136" s="47"/>
      <c r="DC136" s="2"/>
      <c r="DT136" s="9"/>
      <c r="DU136" s="9"/>
      <c r="DV136" s="9"/>
      <c r="DW136" s="9"/>
      <c r="DX136" s="9"/>
      <c r="EC136" s="125"/>
      <c r="FA136" s="5"/>
    </row>
    <row r="137" spans="1:157" s="1" customFormat="1" x14ac:dyDescent="0.25">
      <c r="A137" s="113"/>
      <c r="B137" s="136"/>
      <c r="C137" s="8"/>
      <c r="G137" s="3"/>
      <c r="H137" s="4"/>
      <c r="I137" s="4"/>
      <c r="J137" s="4"/>
      <c r="K137" s="4"/>
      <c r="AR137" s="4"/>
      <c r="BC137" s="47"/>
      <c r="DC137" s="2"/>
      <c r="DT137" s="9"/>
      <c r="DU137" s="9"/>
      <c r="DV137" s="9"/>
      <c r="DW137" s="9"/>
      <c r="DX137" s="9"/>
      <c r="EC137" s="125"/>
      <c r="FA137" s="5"/>
    </row>
    <row r="138" spans="1:157" s="1" customFormat="1" x14ac:dyDescent="0.25">
      <c r="A138" s="113"/>
      <c r="B138" s="136"/>
      <c r="C138" s="8"/>
      <c r="G138" s="3"/>
      <c r="H138" s="4"/>
      <c r="I138" s="4"/>
      <c r="J138" s="4"/>
      <c r="K138" s="4"/>
      <c r="AR138" s="4"/>
      <c r="BC138" s="47"/>
      <c r="DC138" s="2"/>
      <c r="DT138" s="9"/>
      <c r="DU138" s="9"/>
      <c r="DV138" s="9"/>
      <c r="DW138" s="9"/>
      <c r="DX138" s="9"/>
      <c r="EC138" s="125"/>
      <c r="FA138" s="5"/>
    </row>
    <row r="139" spans="1:157" s="1" customFormat="1" x14ac:dyDescent="0.25">
      <c r="A139" s="113"/>
      <c r="B139" s="136"/>
      <c r="C139" s="8"/>
      <c r="G139" s="3"/>
      <c r="H139" s="4"/>
      <c r="I139" s="4"/>
      <c r="J139" s="4"/>
      <c r="K139" s="4"/>
      <c r="AR139" s="4"/>
      <c r="BC139" s="47"/>
      <c r="DC139" s="2"/>
      <c r="DT139" s="9"/>
      <c r="DU139" s="9"/>
      <c r="DV139" s="9"/>
      <c r="DW139" s="9"/>
      <c r="DX139" s="9"/>
      <c r="EC139" s="125"/>
      <c r="FA139" s="5"/>
    </row>
    <row r="140" spans="1:157" s="1" customFormat="1" x14ac:dyDescent="0.25">
      <c r="A140" s="113"/>
      <c r="B140" s="136"/>
      <c r="C140" s="8"/>
      <c r="G140" s="3"/>
      <c r="H140" s="4"/>
      <c r="I140" s="4"/>
      <c r="J140" s="4"/>
      <c r="K140" s="4"/>
      <c r="AR140" s="4"/>
      <c r="BC140" s="47"/>
      <c r="DC140" s="2"/>
      <c r="DT140" s="9"/>
      <c r="DU140" s="9"/>
      <c r="DV140" s="9"/>
      <c r="DW140" s="9"/>
      <c r="DX140" s="9"/>
      <c r="EC140" s="125"/>
      <c r="FA140" s="5"/>
    </row>
    <row r="141" spans="1:157" s="1" customFormat="1" x14ac:dyDescent="0.25">
      <c r="A141" s="113"/>
      <c r="B141" s="136"/>
      <c r="C141" s="8"/>
      <c r="G141" s="3"/>
      <c r="H141" s="4"/>
      <c r="I141" s="4"/>
      <c r="J141" s="4"/>
      <c r="K141" s="4"/>
      <c r="AR141" s="4"/>
      <c r="BC141" s="47"/>
      <c r="DC141" s="2"/>
      <c r="DT141" s="9"/>
      <c r="DU141" s="9"/>
      <c r="DV141" s="9"/>
      <c r="DW141" s="9"/>
      <c r="DX141" s="9"/>
      <c r="EC141" s="125"/>
      <c r="FA141" s="5"/>
    </row>
    <row r="142" spans="1:157" s="1" customFormat="1" x14ac:dyDescent="0.25">
      <c r="A142" s="113"/>
      <c r="B142" s="136"/>
      <c r="C142" s="8"/>
      <c r="G142" s="3"/>
      <c r="H142" s="4"/>
      <c r="I142" s="4"/>
      <c r="J142" s="4"/>
      <c r="K142" s="4"/>
      <c r="AR142" s="4"/>
      <c r="BC142" s="47"/>
      <c r="DC142" s="2"/>
      <c r="DT142" s="9"/>
      <c r="DU142" s="9"/>
      <c r="DV142" s="9"/>
      <c r="DW142" s="9"/>
      <c r="DX142" s="9"/>
      <c r="EC142" s="125"/>
      <c r="FA142" s="5"/>
    </row>
    <row r="143" spans="1:157" s="1" customFormat="1" x14ac:dyDescent="0.25">
      <c r="A143" s="113"/>
      <c r="B143" s="136"/>
      <c r="C143" s="8"/>
      <c r="G143" s="3"/>
      <c r="H143" s="4"/>
      <c r="I143" s="4"/>
      <c r="J143" s="4"/>
      <c r="K143" s="4"/>
      <c r="AR143" s="4"/>
      <c r="BC143" s="47"/>
      <c r="DC143" s="2"/>
      <c r="DT143" s="9"/>
      <c r="DU143" s="9"/>
      <c r="DV143" s="9"/>
      <c r="DW143" s="9"/>
      <c r="DX143" s="9"/>
      <c r="EC143" s="125"/>
      <c r="FA143" s="5"/>
    </row>
    <row r="144" spans="1:157" s="1" customFormat="1" x14ac:dyDescent="0.25">
      <c r="A144" s="113"/>
      <c r="B144" s="136"/>
      <c r="C144" s="8"/>
      <c r="G144" s="3"/>
      <c r="H144" s="4"/>
      <c r="I144" s="4"/>
      <c r="J144" s="4"/>
      <c r="K144" s="4"/>
      <c r="AR144" s="4"/>
      <c r="BC144" s="47"/>
      <c r="DC144" s="2"/>
      <c r="DT144" s="9"/>
      <c r="DU144" s="9"/>
      <c r="DV144" s="9"/>
      <c r="DW144" s="9"/>
      <c r="DX144" s="9"/>
      <c r="EC144" s="125"/>
      <c r="FA144" s="5"/>
    </row>
    <row r="145" spans="1:157" s="1" customFormat="1" x14ac:dyDescent="0.25">
      <c r="A145" s="113"/>
      <c r="B145" s="136"/>
      <c r="C145" s="8"/>
      <c r="G145" s="3"/>
      <c r="H145" s="4"/>
      <c r="I145" s="4"/>
      <c r="J145" s="4"/>
      <c r="K145" s="4"/>
      <c r="AR145" s="4"/>
      <c r="BC145" s="47"/>
      <c r="DC145" s="2"/>
      <c r="DT145" s="9"/>
      <c r="DU145" s="9"/>
      <c r="DV145" s="9"/>
      <c r="DW145" s="9"/>
      <c r="DX145" s="9"/>
      <c r="EC145" s="125"/>
      <c r="FA145" s="5"/>
    </row>
    <row r="146" spans="1:157" s="1" customFormat="1" x14ac:dyDescent="0.25">
      <c r="A146" s="113"/>
      <c r="B146" s="136"/>
      <c r="C146" s="8"/>
      <c r="G146" s="3"/>
      <c r="H146" s="4"/>
      <c r="I146" s="4"/>
      <c r="J146" s="4"/>
      <c r="K146" s="4"/>
      <c r="AR146" s="4"/>
      <c r="BC146" s="47"/>
      <c r="DC146" s="2"/>
      <c r="DT146" s="9"/>
      <c r="DU146" s="9"/>
      <c r="DV146" s="9"/>
      <c r="DW146" s="9"/>
      <c r="DX146" s="9"/>
      <c r="EC146" s="125"/>
      <c r="FA146" s="5"/>
    </row>
    <row r="147" spans="1:157" s="1" customFormat="1" x14ac:dyDescent="0.25">
      <c r="A147" s="113"/>
      <c r="B147" s="136"/>
      <c r="C147" s="8"/>
      <c r="G147" s="3"/>
      <c r="H147" s="4"/>
      <c r="I147" s="4"/>
      <c r="J147" s="4"/>
      <c r="K147" s="4"/>
      <c r="AR147" s="4"/>
      <c r="BC147" s="47"/>
      <c r="DC147" s="2"/>
      <c r="DT147" s="9"/>
      <c r="DU147" s="9"/>
      <c r="DV147" s="9"/>
      <c r="DW147" s="9"/>
      <c r="DX147" s="9"/>
      <c r="EC147" s="125"/>
      <c r="FA147" s="5"/>
    </row>
    <row r="148" spans="1:157" s="1" customFormat="1" x14ac:dyDescent="0.25">
      <c r="A148" s="113"/>
      <c r="B148" s="136"/>
      <c r="C148" s="8"/>
      <c r="G148" s="3"/>
      <c r="H148" s="4"/>
      <c r="I148" s="4"/>
      <c r="J148" s="4"/>
      <c r="K148" s="4"/>
      <c r="AR148" s="4"/>
      <c r="BC148" s="47"/>
      <c r="DC148" s="2"/>
      <c r="DT148" s="9"/>
      <c r="DU148" s="9"/>
      <c r="DV148" s="9"/>
      <c r="DW148" s="9"/>
      <c r="DX148" s="9"/>
      <c r="EC148" s="125"/>
      <c r="FA148" s="5"/>
    </row>
    <row r="149" spans="1:157" s="1" customFormat="1" x14ac:dyDescent="0.25">
      <c r="A149" s="113"/>
      <c r="B149" s="136"/>
      <c r="C149" s="8"/>
      <c r="G149" s="3"/>
      <c r="H149" s="4"/>
      <c r="I149" s="4"/>
      <c r="J149" s="4"/>
      <c r="K149" s="4"/>
      <c r="AR149" s="4"/>
      <c r="BC149" s="47"/>
      <c r="DC149" s="2"/>
      <c r="DT149" s="9"/>
      <c r="DU149" s="9"/>
      <c r="DV149" s="9"/>
      <c r="DW149" s="9"/>
      <c r="DX149" s="9"/>
      <c r="EC149" s="125"/>
      <c r="FA149" s="5"/>
    </row>
    <row r="150" spans="1:157" s="1" customFormat="1" x14ac:dyDescent="0.25">
      <c r="A150" s="113"/>
      <c r="B150" s="136"/>
      <c r="C150" s="8"/>
      <c r="G150" s="3"/>
      <c r="H150" s="4"/>
      <c r="I150" s="4"/>
      <c r="J150" s="4"/>
      <c r="K150" s="4"/>
      <c r="AR150" s="4"/>
      <c r="BC150" s="47"/>
      <c r="DC150" s="2"/>
      <c r="DT150" s="9"/>
      <c r="DU150" s="9"/>
      <c r="DV150" s="9"/>
      <c r="DW150" s="9"/>
      <c r="DX150" s="9"/>
      <c r="EC150" s="125"/>
      <c r="FA150" s="5"/>
    </row>
    <row r="151" spans="1:157" s="1" customFormat="1" x14ac:dyDescent="0.25">
      <c r="A151" s="113"/>
      <c r="B151" s="136"/>
      <c r="C151" s="8"/>
      <c r="G151" s="3"/>
      <c r="H151" s="4"/>
      <c r="I151" s="4"/>
      <c r="J151" s="4"/>
      <c r="K151" s="4"/>
      <c r="AR151" s="4"/>
      <c r="BC151" s="47"/>
      <c r="DC151" s="2"/>
      <c r="DT151" s="9"/>
      <c r="DU151" s="9"/>
      <c r="DV151" s="9"/>
      <c r="DW151" s="9"/>
      <c r="DX151" s="9"/>
      <c r="EC151" s="125"/>
      <c r="FA151" s="5"/>
    </row>
    <row r="152" spans="1:157" s="1" customFormat="1" x14ac:dyDescent="0.25">
      <c r="A152" s="113"/>
      <c r="B152" s="136"/>
      <c r="C152" s="8"/>
      <c r="G152" s="3"/>
      <c r="H152" s="4"/>
      <c r="I152" s="4"/>
      <c r="J152" s="4"/>
      <c r="K152" s="4"/>
      <c r="AR152" s="4"/>
      <c r="BC152" s="47"/>
      <c r="DC152" s="2"/>
      <c r="DT152" s="9"/>
      <c r="DU152" s="9"/>
      <c r="DV152" s="9"/>
      <c r="DW152" s="9"/>
      <c r="DX152" s="9"/>
      <c r="EC152" s="125"/>
      <c r="FA152" s="5"/>
    </row>
    <row r="153" spans="1:157" s="1" customFormat="1" x14ac:dyDescent="0.25">
      <c r="A153" s="113"/>
      <c r="B153" s="136"/>
      <c r="C153" s="8"/>
      <c r="G153" s="3"/>
      <c r="H153" s="4"/>
      <c r="I153" s="4"/>
      <c r="J153" s="4"/>
      <c r="K153" s="4"/>
      <c r="AR153" s="4"/>
      <c r="BC153" s="47"/>
      <c r="DC153" s="2"/>
      <c r="DT153" s="9"/>
      <c r="DU153" s="9"/>
      <c r="DV153" s="9"/>
      <c r="DW153" s="9"/>
      <c r="DX153" s="9"/>
      <c r="EC153" s="125"/>
      <c r="FA153" s="5"/>
    </row>
    <row r="154" spans="1:157" s="1" customFormat="1" x14ac:dyDescent="0.25">
      <c r="A154" s="113"/>
      <c r="B154" s="136"/>
      <c r="C154" s="8"/>
      <c r="G154" s="3"/>
      <c r="H154" s="4"/>
      <c r="I154" s="4"/>
      <c r="J154" s="4"/>
      <c r="K154" s="4"/>
      <c r="AR154" s="4"/>
      <c r="BC154" s="47"/>
      <c r="DC154" s="2"/>
      <c r="DT154" s="9"/>
      <c r="DU154" s="9"/>
      <c r="DV154" s="9"/>
      <c r="DW154" s="9"/>
      <c r="DX154" s="9"/>
      <c r="EC154" s="125"/>
      <c r="FA154" s="5"/>
    </row>
    <row r="155" spans="1:157" s="1" customFormat="1" x14ac:dyDescent="0.25">
      <c r="A155" s="113"/>
      <c r="B155" s="136"/>
      <c r="C155" s="8"/>
      <c r="G155" s="3"/>
      <c r="H155" s="4"/>
      <c r="I155" s="4"/>
      <c r="J155" s="4"/>
      <c r="K155" s="4"/>
      <c r="AR155" s="4"/>
      <c r="BC155" s="47"/>
      <c r="DC155" s="2"/>
      <c r="DT155" s="9"/>
      <c r="DU155" s="9"/>
      <c r="DV155" s="9"/>
      <c r="DW155" s="9"/>
      <c r="DX155" s="9"/>
      <c r="EC155" s="125"/>
      <c r="FA155" s="5"/>
    </row>
    <row r="156" spans="1:157" s="1" customFormat="1" x14ac:dyDescent="0.25">
      <c r="A156" s="113"/>
      <c r="B156" s="136"/>
      <c r="C156" s="8"/>
      <c r="G156" s="3"/>
      <c r="H156" s="4"/>
      <c r="I156" s="4"/>
      <c r="J156" s="4"/>
      <c r="K156" s="4"/>
      <c r="AR156" s="4"/>
      <c r="BC156" s="47"/>
      <c r="DC156" s="2"/>
      <c r="DT156" s="9"/>
      <c r="DU156" s="9"/>
      <c r="DV156" s="9"/>
      <c r="DW156" s="9"/>
      <c r="DX156" s="9"/>
      <c r="EC156" s="125"/>
      <c r="FA156" s="5"/>
    </row>
    <row r="157" spans="1:157" s="1" customFormat="1" x14ac:dyDescent="0.25">
      <c r="A157" s="113"/>
      <c r="B157" s="136"/>
      <c r="C157" s="8"/>
      <c r="G157" s="3"/>
      <c r="H157" s="4"/>
      <c r="I157" s="4"/>
      <c r="J157" s="4"/>
      <c r="K157" s="4"/>
      <c r="AR157" s="4"/>
      <c r="BC157" s="47"/>
      <c r="DC157" s="2"/>
      <c r="DT157" s="9"/>
      <c r="DU157" s="9"/>
      <c r="DV157" s="9"/>
      <c r="DW157" s="9"/>
      <c r="DX157" s="9"/>
      <c r="EC157" s="125"/>
      <c r="FA157" s="5"/>
    </row>
    <row r="158" spans="1:157" s="1" customFormat="1" x14ac:dyDescent="0.25">
      <c r="A158" s="113"/>
      <c r="B158" s="136"/>
      <c r="C158" s="8"/>
      <c r="G158" s="3"/>
      <c r="H158" s="4"/>
      <c r="I158" s="4"/>
      <c r="J158" s="4"/>
      <c r="K158" s="4"/>
      <c r="AR158" s="4"/>
      <c r="BC158" s="47"/>
      <c r="DC158" s="2"/>
      <c r="DT158" s="9"/>
      <c r="DU158" s="9"/>
      <c r="DV158" s="9"/>
      <c r="DW158" s="9"/>
      <c r="DX158" s="9"/>
      <c r="EC158" s="125"/>
      <c r="FA158" s="5"/>
    </row>
    <row r="159" spans="1:157" s="1" customFormat="1" x14ac:dyDescent="0.25">
      <c r="A159" s="113"/>
      <c r="B159" s="136"/>
      <c r="C159" s="8"/>
      <c r="G159" s="3"/>
      <c r="H159" s="4"/>
      <c r="I159" s="4"/>
      <c r="J159" s="4"/>
      <c r="K159" s="4"/>
      <c r="AR159" s="4"/>
      <c r="BC159" s="47"/>
      <c r="DC159" s="2"/>
      <c r="DT159" s="9"/>
      <c r="DU159" s="9"/>
      <c r="DV159" s="9"/>
      <c r="DW159" s="9"/>
      <c r="DX159" s="9"/>
      <c r="EC159" s="125"/>
      <c r="FA159" s="5"/>
    </row>
    <row r="160" spans="1:157" s="1" customFormat="1" x14ac:dyDescent="0.25">
      <c r="A160" s="113"/>
      <c r="B160" s="136"/>
      <c r="C160" s="8"/>
      <c r="G160" s="3"/>
      <c r="H160" s="4"/>
      <c r="I160" s="4"/>
      <c r="J160" s="4"/>
      <c r="K160" s="4"/>
      <c r="AR160" s="4"/>
      <c r="BC160" s="47"/>
      <c r="DC160" s="2"/>
      <c r="DT160" s="9"/>
      <c r="DU160" s="9"/>
      <c r="DV160" s="9"/>
      <c r="DW160" s="9"/>
      <c r="DX160" s="9"/>
      <c r="EC160" s="125"/>
      <c r="FA160" s="5"/>
    </row>
    <row r="161" spans="1:157" s="1" customFormat="1" x14ac:dyDescent="0.25">
      <c r="A161" s="113"/>
      <c r="B161" s="136"/>
      <c r="C161" s="8"/>
      <c r="G161" s="3"/>
      <c r="H161" s="4"/>
      <c r="I161" s="4"/>
      <c r="J161" s="4"/>
      <c r="K161" s="4"/>
      <c r="AR161" s="4"/>
      <c r="BC161" s="47"/>
      <c r="DC161" s="2"/>
      <c r="DT161" s="9"/>
      <c r="DU161" s="9"/>
      <c r="DV161" s="9"/>
      <c r="DW161" s="9"/>
      <c r="DX161" s="9"/>
      <c r="EC161" s="125"/>
      <c r="FA161" s="5"/>
    </row>
    <row r="162" spans="1:157" s="1" customFormat="1" x14ac:dyDescent="0.25">
      <c r="A162" s="113"/>
      <c r="B162" s="136"/>
      <c r="C162" s="8"/>
      <c r="G162" s="3"/>
      <c r="H162" s="4"/>
      <c r="I162" s="4"/>
      <c r="J162" s="4"/>
      <c r="K162" s="4"/>
      <c r="AR162" s="4"/>
      <c r="BC162" s="47"/>
      <c r="DC162" s="2"/>
      <c r="DT162" s="9"/>
      <c r="DU162" s="9"/>
      <c r="DV162" s="9"/>
      <c r="DW162" s="9"/>
      <c r="DX162" s="9"/>
      <c r="EC162" s="125"/>
      <c r="FA162" s="5"/>
    </row>
    <row r="163" spans="1:157" s="1" customFormat="1" x14ac:dyDescent="0.25">
      <c r="A163" s="113"/>
      <c r="B163" s="136"/>
      <c r="C163" s="8"/>
      <c r="G163" s="3"/>
      <c r="H163" s="4"/>
      <c r="I163" s="4"/>
      <c r="J163" s="4"/>
      <c r="K163" s="4"/>
      <c r="AR163" s="4"/>
      <c r="BC163" s="47"/>
      <c r="DC163" s="2"/>
      <c r="DT163" s="9"/>
      <c r="DU163" s="9"/>
      <c r="DV163" s="9"/>
      <c r="DW163" s="9"/>
      <c r="DX163" s="9"/>
      <c r="EC163" s="125"/>
      <c r="FA163" s="5"/>
    </row>
    <row r="164" spans="1:157" s="1" customFormat="1" x14ac:dyDescent="0.25">
      <c r="A164" s="113"/>
      <c r="B164" s="136"/>
      <c r="C164" s="8"/>
      <c r="G164" s="3"/>
      <c r="H164" s="4"/>
      <c r="I164" s="4"/>
      <c r="J164" s="4"/>
      <c r="K164" s="4"/>
      <c r="AR164" s="4"/>
      <c r="BC164" s="47"/>
      <c r="DC164" s="2"/>
      <c r="DT164" s="9"/>
      <c r="DU164" s="9"/>
      <c r="DV164" s="9"/>
      <c r="DW164" s="9"/>
      <c r="DX164" s="9"/>
      <c r="EC164" s="125"/>
      <c r="FA164" s="5"/>
    </row>
    <row r="165" spans="1:157" s="1" customFormat="1" x14ac:dyDescent="0.25">
      <c r="A165" s="113"/>
      <c r="B165" s="136"/>
      <c r="C165" s="8"/>
      <c r="G165" s="3"/>
      <c r="H165" s="4"/>
      <c r="I165" s="4"/>
      <c r="J165" s="4"/>
      <c r="K165" s="4"/>
      <c r="AR165" s="4"/>
      <c r="BC165" s="47"/>
      <c r="DC165" s="2"/>
      <c r="DT165" s="9"/>
      <c r="DU165" s="9"/>
      <c r="DV165" s="9"/>
      <c r="DW165" s="9"/>
      <c r="DX165" s="9"/>
      <c r="EC165" s="125"/>
      <c r="FA165" s="5"/>
    </row>
    <row r="166" spans="1:157" s="1" customFormat="1" x14ac:dyDescent="0.25">
      <c r="A166" s="113"/>
      <c r="B166" s="136"/>
      <c r="C166" s="8"/>
      <c r="G166" s="3"/>
      <c r="H166" s="4"/>
      <c r="I166" s="4"/>
      <c r="J166" s="4"/>
      <c r="K166" s="4"/>
      <c r="AR166" s="4"/>
      <c r="BC166" s="47"/>
      <c r="DC166" s="2"/>
      <c r="DT166" s="9"/>
      <c r="DU166" s="9"/>
      <c r="DV166" s="9"/>
      <c r="DW166" s="9"/>
      <c r="DX166" s="9"/>
      <c r="EC166" s="125"/>
      <c r="FA166" s="5"/>
    </row>
    <row r="167" spans="1:157" s="1" customFormat="1" x14ac:dyDescent="0.25">
      <c r="A167" s="113"/>
      <c r="B167" s="136"/>
      <c r="C167" s="8"/>
      <c r="G167" s="3"/>
      <c r="H167" s="4"/>
      <c r="I167" s="4"/>
      <c r="J167" s="4"/>
      <c r="K167" s="4"/>
      <c r="AR167" s="4"/>
      <c r="BC167" s="47"/>
      <c r="DC167" s="2"/>
      <c r="DT167" s="9"/>
      <c r="DU167" s="9"/>
      <c r="DV167" s="9"/>
      <c r="DW167" s="9"/>
      <c r="DX167" s="9"/>
      <c r="EC167" s="125"/>
      <c r="FA167" s="5"/>
    </row>
    <row r="168" spans="1:157" s="1" customFormat="1" x14ac:dyDescent="0.25">
      <c r="A168" s="113"/>
      <c r="B168" s="136"/>
      <c r="C168" s="8"/>
      <c r="G168" s="3"/>
      <c r="H168" s="4"/>
      <c r="I168" s="4"/>
      <c r="J168" s="4"/>
      <c r="K168" s="4"/>
      <c r="AR168" s="4"/>
      <c r="BC168" s="47"/>
      <c r="DC168" s="2"/>
      <c r="DT168" s="9"/>
      <c r="DU168" s="9"/>
      <c r="DV168" s="9"/>
      <c r="DW168" s="9"/>
      <c r="DX168" s="9"/>
      <c r="EC168" s="125"/>
      <c r="FA168" s="5"/>
    </row>
    <row r="169" spans="1:157" s="1" customFormat="1" x14ac:dyDescent="0.25">
      <c r="A169" s="113"/>
      <c r="B169" s="136"/>
      <c r="C169" s="8"/>
      <c r="G169" s="3"/>
      <c r="H169" s="4"/>
      <c r="I169" s="4"/>
      <c r="J169" s="4"/>
      <c r="K169" s="4"/>
      <c r="AR169" s="4"/>
      <c r="BC169" s="47"/>
      <c r="DC169" s="2"/>
      <c r="DT169" s="9"/>
      <c r="DU169" s="9"/>
      <c r="DV169" s="9"/>
      <c r="DW169" s="9"/>
      <c r="DX169" s="9"/>
      <c r="EC169" s="125"/>
      <c r="FA169" s="5"/>
    </row>
    <row r="170" spans="1:157" s="1" customFormat="1" x14ac:dyDescent="0.25">
      <c r="A170" s="113"/>
      <c r="B170" s="136"/>
      <c r="C170" s="8"/>
      <c r="G170" s="3"/>
      <c r="H170" s="4"/>
      <c r="I170" s="4"/>
      <c r="J170" s="4"/>
      <c r="K170" s="4"/>
      <c r="AR170" s="4"/>
      <c r="BC170" s="47"/>
      <c r="DC170" s="2"/>
      <c r="DT170" s="9"/>
      <c r="DU170" s="9"/>
      <c r="DV170" s="9"/>
      <c r="DW170" s="9"/>
      <c r="DX170" s="9"/>
      <c r="EC170" s="125"/>
      <c r="FA170" s="5"/>
    </row>
    <row r="171" spans="1:157" s="1" customFormat="1" x14ac:dyDescent="0.25">
      <c r="A171" s="113"/>
      <c r="B171" s="136"/>
      <c r="C171" s="8"/>
      <c r="G171" s="3"/>
      <c r="H171" s="4"/>
      <c r="I171" s="4"/>
      <c r="J171" s="4"/>
      <c r="K171" s="4"/>
      <c r="AR171" s="4"/>
      <c r="BC171" s="47"/>
      <c r="DC171" s="2"/>
      <c r="DT171" s="9"/>
      <c r="DU171" s="9"/>
      <c r="DV171" s="9"/>
      <c r="DW171" s="9"/>
      <c r="DX171" s="9"/>
      <c r="EC171" s="125"/>
      <c r="FA171" s="5"/>
    </row>
    <row r="172" spans="1:157" s="1" customFormat="1" x14ac:dyDescent="0.25">
      <c r="A172" s="113"/>
      <c r="B172" s="136"/>
      <c r="C172" s="8"/>
      <c r="G172" s="3"/>
      <c r="H172" s="4"/>
      <c r="I172" s="4"/>
      <c r="J172" s="4"/>
      <c r="K172" s="4"/>
      <c r="AR172" s="4"/>
      <c r="BC172" s="47"/>
      <c r="DC172" s="2"/>
      <c r="DT172" s="9"/>
      <c r="DU172" s="9"/>
      <c r="DV172" s="9"/>
      <c r="DW172" s="9"/>
      <c r="DX172" s="9"/>
      <c r="EC172" s="125"/>
      <c r="FA172" s="5"/>
    </row>
    <row r="173" spans="1:157" s="1" customFormat="1" x14ac:dyDescent="0.25">
      <c r="A173" s="113"/>
      <c r="B173" s="136"/>
      <c r="C173" s="8"/>
      <c r="G173" s="3"/>
      <c r="H173" s="4"/>
      <c r="I173" s="4"/>
      <c r="J173" s="4"/>
      <c r="K173" s="4"/>
      <c r="AR173" s="4"/>
      <c r="BC173" s="47"/>
      <c r="DC173" s="2"/>
      <c r="DT173" s="9"/>
      <c r="DU173" s="9"/>
      <c r="DV173" s="9"/>
      <c r="DW173" s="9"/>
      <c r="DX173" s="9"/>
      <c r="EC173" s="125"/>
      <c r="FA173" s="5"/>
    </row>
    <row r="174" spans="1:157" s="1" customFormat="1" x14ac:dyDescent="0.25">
      <c r="A174" s="113"/>
      <c r="B174" s="136"/>
      <c r="C174" s="8"/>
      <c r="G174" s="3"/>
      <c r="H174" s="4"/>
      <c r="I174" s="4"/>
      <c r="J174" s="4"/>
      <c r="K174" s="4"/>
      <c r="AR174" s="4"/>
      <c r="BC174" s="47"/>
      <c r="DC174" s="2"/>
      <c r="DT174" s="9"/>
      <c r="DU174" s="9"/>
      <c r="DV174" s="9"/>
      <c r="DW174" s="9"/>
      <c r="DX174" s="9"/>
      <c r="EC174" s="125"/>
      <c r="FA174" s="5"/>
    </row>
    <row r="175" spans="1:157" s="1" customFormat="1" x14ac:dyDescent="0.25">
      <c r="A175" s="113"/>
      <c r="B175" s="136"/>
      <c r="C175" s="8"/>
      <c r="G175" s="3"/>
      <c r="H175" s="4"/>
      <c r="I175" s="4"/>
      <c r="J175" s="4"/>
      <c r="K175" s="4"/>
      <c r="AR175" s="4"/>
      <c r="BC175" s="47"/>
      <c r="DC175" s="2"/>
      <c r="DT175" s="9"/>
      <c r="DU175" s="9"/>
      <c r="DV175" s="9"/>
      <c r="DW175" s="9"/>
      <c r="DX175" s="9"/>
      <c r="EC175" s="125"/>
      <c r="FA175" s="5"/>
    </row>
    <row r="176" spans="1:157" s="1" customFormat="1" x14ac:dyDescent="0.25">
      <c r="A176" s="113"/>
      <c r="B176" s="136"/>
      <c r="C176" s="8"/>
      <c r="G176" s="3"/>
      <c r="H176" s="4"/>
      <c r="I176" s="4"/>
      <c r="J176" s="4"/>
      <c r="K176" s="4"/>
      <c r="AR176" s="4"/>
      <c r="BC176" s="47"/>
      <c r="DC176" s="2"/>
      <c r="DT176" s="9"/>
      <c r="DU176" s="9"/>
      <c r="DV176" s="9"/>
      <c r="DW176" s="9"/>
      <c r="DX176" s="9"/>
      <c r="EC176" s="125"/>
      <c r="FA176" s="5"/>
    </row>
    <row r="177" spans="1:157" s="1" customFormat="1" x14ac:dyDescent="0.25">
      <c r="A177" s="113"/>
      <c r="B177" s="136"/>
      <c r="C177" s="8"/>
      <c r="G177" s="3"/>
      <c r="H177" s="4"/>
      <c r="I177" s="4"/>
      <c r="J177" s="4"/>
      <c r="K177" s="4"/>
      <c r="AR177" s="4"/>
      <c r="BC177" s="47"/>
      <c r="DC177" s="2"/>
      <c r="DT177" s="9"/>
      <c r="DU177" s="9"/>
      <c r="DV177" s="9"/>
      <c r="DW177" s="9"/>
      <c r="DX177" s="9"/>
      <c r="EC177" s="125"/>
      <c r="FA177" s="5"/>
    </row>
    <row r="178" spans="1:157" s="1" customFormat="1" x14ac:dyDescent="0.25">
      <c r="A178" s="113"/>
      <c r="B178" s="136"/>
      <c r="C178" s="8"/>
      <c r="G178" s="3"/>
      <c r="H178" s="4"/>
      <c r="I178" s="4"/>
      <c r="J178" s="4"/>
      <c r="K178" s="4"/>
      <c r="AR178" s="4"/>
      <c r="BC178" s="47"/>
      <c r="DC178" s="2"/>
      <c r="DT178" s="9"/>
      <c r="DU178" s="9"/>
      <c r="DV178" s="9"/>
      <c r="DW178" s="9"/>
      <c r="DX178" s="9"/>
      <c r="EC178" s="125"/>
      <c r="FA178" s="5"/>
    </row>
    <row r="179" spans="1:157" s="1" customFormat="1" x14ac:dyDescent="0.25">
      <c r="A179" s="113"/>
      <c r="B179" s="136"/>
      <c r="C179" s="8"/>
      <c r="G179" s="3"/>
      <c r="H179" s="4"/>
      <c r="I179" s="4"/>
      <c r="J179" s="4"/>
      <c r="K179" s="4"/>
      <c r="AR179" s="4"/>
      <c r="BC179" s="47"/>
      <c r="DC179" s="2"/>
      <c r="DT179" s="9"/>
      <c r="DU179" s="9"/>
      <c r="DV179" s="9"/>
      <c r="DW179" s="9"/>
      <c r="DX179" s="9"/>
      <c r="EC179" s="125"/>
      <c r="FA179" s="5"/>
    </row>
    <row r="180" spans="1:157" s="1" customFormat="1" x14ac:dyDescent="0.25">
      <c r="A180" s="113"/>
      <c r="B180" s="136"/>
      <c r="C180" s="8"/>
      <c r="G180" s="3"/>
      <c r="H180" s="4"/>
      <c r="I180" s="4"/>
      <c r="J180" s="4"/>
      <c r="K180" s="4"/>
      <c r="AR180" s="4"/>
      <c r="BC180" s="47"/>
      <c r="DC180" s="2"/>
      <c r="DT180" s="9"/>
      <c r="DU180" s="9"/>
      <c r="DV180" s="9"/>
      <c r="DW180" s="9"/>
      <c r="DX180" s="9"/>
      <c r="EC180" s="125"/>
      <c r="FA180" s="5"/>
    </row>
    <row r="181" spans="1:157" s="1" customFormat="1" x14ac:dyDescent="0.25">
      <c r="A181" s="113"/>
      <c r="B181" s="136"/>
      <c r="C181" s="8"/>
      <c r="G181" s="3"/>
      <c r="H181" s="4"/>
      <c r="I181" s="4"/>
      <c r="J181" s="4"/>
      <c r="K181" s="4"/>
      <c r="AR181" s="4"/>
      <c r="BC181" s="47"/>
      <c r="DC181" s="2"/>
      <c r="DT181" s="9"/>
      <c r="DU181" s="9"/>
      <c r="DV181" s="9"/>
      <c r="DW181" s="9"/>
      <c r="DX181" s="9"/>
      <c r="EC181" s="125"/>
      <c r="FA181" s="5"/>
    </row>
    <row r="182" spans="1:157" s="1" customFormat="1" x14ac:dyDescent="0.25">
      <c r="A182" s="113"/>
      <c r="B182" s="136"/>
      <c r="C182" s="8"/>
      <c r="G182" s="3"/>
      <c r="H182" s="4"/>
      <c r="I182" s="4"/>
      <c r="J182" s="4"/>
      <c r="K182" s="4"/>
      <c r="AR182" s="4"/>
      <c r="BC182" s="47"/>
      <c r="DC182" s="2"/>
      <c r="DT182" s="9"/>
      <c r="DU182" s="9"/>
      <c r="DV182" s="9"/>
      <c r="DW182" s="9"/>
      <c r="DX182" s="9"/>
      <c r="EC182" s="125"/>
      <c r="FA182" s="5"/>
    </row>
    <row r="183" spans="1:157" s="1" customFormat="1" x14ac:dyDescent="0.25">
      <c r="A183" s="113"/>
      <c r="B183" s="136"/>
      <c r="C183" s="8"/>
      <c r="G183" s="3"/>
      <c r="H183" s="4"/>
      <c r="I183" s="4"/>
      <c r="J183" s="4"/>
      <c r="K183" s="4"/>
      <c r="AR183" s="4"/>
      <c r="BC183" s="47"/>
      <c r="DC183" s="2"/>
      <c r="DT183" s="9"/>
      <c r="DU183" s="9"/>
      <c r="DV183" s="9"/>
      <c r="DW183" s="9"/>
      <c r="DX183" s="9"/>
      <c r="EC183" s="125"/>
      <c r="FA183" s="5"/>
    </row>
    <row r="184" spans="1:157" s="1" customFormat="1" x14ac:dyDescent="0.25">
      <c r="A184" s="113"/>
      <c r="B184" s="136"/>
      <c r="C184" s="8"/>
      <c r="G184" s="3"/>
      <c r="H184" s="4"/>
      <c r="I184" s="4"/>
      <c r="J184" s="4"/>
      <c r="K184" s="4"/>
      <c r="AR184" s="4"/>
      <c r="BC184" s="47"/>
      <c r="DC184" s="2"/>
      <c r="DT184" s="9"/>
      <c r="DU184" s="9"/>
      <c r="DV184" s="9"/>
      <c r="DW184" s="9"/>
      <c r="DX184" s="9"/>
      <c r="EC184" s="125"/>
      <c r="FA184" s="5"/>
    </row>
    <row r="185" spans="1:157" s="1" customFormat="1" x14ac:dyDescent="0.25">
      <c r="A185" s="113"/>
      <c r="B185" s="136"/>
      <c r="C185" s="8"/>
      <c r="G185" s="3"/>
      <c r="H185" s="4"/>
      <c r="I185" s="4"/>
      <c r="J185" s="4"/>
      <c r="K185" s="4"/>
      <c r="AR185" s="4"/>
      <c r="BC185" s="47"/>
      <c r="DC185" s="2"/>
      <c r="DT185" s="9"/>
      <c r="DU185" s="9"/>
      <c r="DV185" s="9"/>
      <c r="DW185" s="9"/>
      <c r="DX185" s="9"/>
      <c r="EC185" s="125"/>
      <c r="FA185" s="5"/>
    </row>
    <row r="186" spans="1:157" s="1" customFormat="1" x14ac:dyDescent="0.25">
      <c r="A186" s="113"/>
      <c r="B186" s="136"/>
      <c r="C186" s="8"/>
      <c r="G186" s="3"/>
      <c r="H186" s="4"/>
      <c r="I186" s="4"/>
      <c r="K186" s="2"/>
      <c r="AR186" s="4"/>
      <c r="BC186" s="47"/>
      <c r="DC186" s="2"/>
      <c r="DT186" s="9"/>
      <c r="DU186" s="9"/>
      <c r="DV186" s="9"/>
      <c r="DW186" s="9"/>
      <c r="DX186" s="9"/>
      <c r="EC186" s="125"/>
      <c r="FA186" s="5"/>
    </row>
    <row r="187" spans="1:157" s="1" customFormat="1" x14ac:dyDescent="0.25">
      <c r="A187" s="113"/>
      <c r="B187" s="136"/>
      <c r="C187" s="8"/>
      <c r="G187" s="3"/>
      <c r="I187" s="4"/>
      <c r="K187" s="2"/>
      <c r="BC187" s="47"/>
      <c r="DC187" s="2"/>
      <c r="DT187" s="9"/>
      <c r="DU187" s="9"/>
      <c r="DV187" s="9"/>
      <c r="DW187" s="9"/>
      <c r="DX187" s="9"/>
      <c r="EC187" s="125"/>
      <c r="FA187" s="5"/>
    </row>
    <row r="188" spans="1:157" s="1" customFormat="1" x14ac:dyDescent="0.25">
      <c r="A188" s="113"/>
      <c r="B188" s="136"/>
      <c r="C188" s="8"/>
      <c r="G188" s="3"/>
      <c r="I188" s="4"/>
      <c r="BC188" s="47"/>
      <c r="DT188" s="9"/>
      <c r="DU188" s="9"/>
      <c r="DV188" s="9"/>
      <c r="DW188" s="9"/>
      <c r="DX188" s="9"/>
      <c r="EC188" s="125"/>
    </row>
    <row r="189" spans="1:157" s="1" customFormat="1" x14ac:dyDescent="0.25">
      <c r="A189" s="113"/>
      <c r="B189" s="136"/>
      <c r="C189" s="8"/>
      <c r="G189" s="3"/>
      <c r="I189" s="4"/>
      <c r="BC189" s="47"/>
      <c r="DT189" s="9"/>
      <c r="DU189" s="9"/>
      <c r="DV189" s="9"/>
      <c r="DW189" s="9"/>
      <c r="DX189" s="9"/>
      <c r="EC189" s="125"/>
    </row>
    <row r="190" spans="1:157" s="1" customFormat="1" x14ac:dyDescent="0.25">
      <c r="A190" s="113"/>
      <c r="B190" s="136"/>
      <c r="C190" s="8"/>
      <c r="G190" s="3"/>
      <c r="I190" s="4"/>
      <c r="BC190" s="47"/>
      <c r="DT190" s="9"/>
      <c r="DU190" s="9"/>
      <c r="DV190" s="9"/>
      <c r="DW190" s="9"/>
      <c r="DX190" s="9"/>
      <c r="EC190" s="125"/>
    </row>
    <row r="191" spans="1:157" s="1" customFormat="1" x14ac:dyDescent="0.25">
      <c r="A191" s="113"/>
      <c r="B191" s="136"/>
      <c r="C191" s="8"/>
      <c r="G191" s="3"/>
      <c r="I191" s="4"/>
      <c r="BC191" s="47"/>
      <c r="DT191" s="9"/>
      <c r="DU191" s="9"/>
      <c r="DV191" s="9"/>
      <c r="DW191" s="9"/>
      <c r="DX191" s="9"/>
      <c r="EC191" s="125"/>
    </row>
    <row r="192" spans="1:157" s="1" customFormat="1" x14ac:dyDescent="0.25">
      <c r="A192" s="113"/>
      <c r="B192" s="8"/>
      <c r="C192" s="8"/>
      <c r="G192" s="3"/>
      <c r="I192" s="4"/>
      <c r="BC192" s="47"/>
      <c r="DT192" s="9"/>
      <c r="DU192" s="9"/>
      <c r="DV192" s="9"/>
      <c r="DW192" s="9"/>
      <c r="DX192" s="9"/>
      <c r="EC192" s="125"/>
    </row>
    <row r="193" spans="1:133" s="1" customFormat="1" x14ac:dyDescent="0.25">
      <c r="A193" s="113"/>
      <c r="B193" s="8"/>
      <c r="C193" s="8"/>
      <c r="G193" s="3"/>
      <c r="I193" s="4"/>
      <c r="BC193" s="47"/>
      <c r="DT193" s="9"/>
      <c r="DU193" s="9"/>
      <c r="DV193" s="9"/>
      <c r="DW193" s="9"/>
      <c r="DX193" s="9"/>
      <c r="EC193" s="125"/>
    </row>
    <row r="194" spans="1:133" s="1" customFormat="1" x14ac:dyDescent="0.25">
      <c r="A194" s="113"/>
      <c r="B194" s="8"/>
      <c r="C194" s="8"/>
      <c r="G194" s="3"/>
      <c r="I194" s="4"/>
      <c r="BC194" s="47"/>
      <c r="DT194" s="9"/>
      <c r="DU194" s="9"/>
      <c r="DV194" s="9"/>
      <c r="DW194" s="9"/>
      <c r="DX194" s="9"/>
      <c r="EC194" s="125"/>
    </row>
    <row r="195" spans="1:133" s="1" customFormat="1" x14ac:dyDescent="0.25">
      <c r="A195" s="113"/>
      <c r="B195" s="8"/>
      <c r="C195" s="8"/>
      <c r="G195" s="3"/>
      <c r="I195" s="4"/>
      <c r="BC195" s="47"/>
      <c r="DT195" s="9"/>
      <c r="DU195" s="9"/>
      <c r="DV195" s="9"/>
      <c r="DW195" s="9"/>
      <c r="DX195" s="9"/>
      <c r="EC195" s="125"/>
    </row>
    <row r="196" spans="1:133" s="1" customFormat="1" x14ac:dyDescent="0.25">
      <c r="A196" s="113"/>
      <c r="B196" s="8"/>
      <c r="C196" s="8"/>
      <c r="G196" s="3"/>
      <c r="I196" s="4"/>
      <c r="BC196" s="47"/>
      <c r="DT196" s="9"/>
      <c r="DU196" s="9"/>
      <c r="DV196" s="9"/>
      <c r="DW196" s="9"/>
      <c r="DX196" s="9"/>
      <c r="EC196" s="125"/>
    </row>
    <row r="197" spans="1:133" s="1" customFormat="1" x14ac:dyDescent="0.25">
      <c r="A197" s="113"/>
      <c r="B197" s="8"/>
      <c r="C197" s="8"/>
      <c r="G197" s="3"/>
      <c r="I197" s="4"/>
      <c r="BC197" s="47"/>
      <c r="DT197" s="9"/>
      <c r="DU197" s="9"/>
      <c r="DV197" s="9"/>
      <c r="DW197" s="9"/>
      <c r="DX197" s="9"/>
      <c r="EC197" s="125"/>
    </row>
    <row r="198" spans="1:133" s="1" customFormat="1" x14ac:dyDescent="0.25">
      <c r="A198" s="113"/>
      <c r="B198" s="8"/>
      <c r="C198" s="8"/>
      <c r="G198" s="3"/>
      <c r="I198" s="4"/>
      <c r="BC198" s="47"/>
      <c r="DT198" s="9"/>
      <c r="DU198" s="9"/>
      <c r="DV198" s="9"/>
      <c r="DW198" s="9"/>
      <c r="DX198" s="9"/>
      <c r="EC198" s="125"/>
    </row>
    <row r="199" spans="1:133" s="1" customFormat="1" x14ac:dyDescent="0.25">
      <c r="A199" s="113"/>
      <c r="B199" s="8"/>
      <c r="C199" s="8"/>
      <c r="G199" s="3"/>
      <c r="I199" s="4"/>
      <c r="BC199" s="47"/>
      <c r="DT199" s="9"/>
      <c r="DU199" s="9"/>
      <c r="DV199" s="9"/>
      <c r="DW199" s="9"/>
      <c r="DX199" s="9"/>
      <c r="EC199" s="125"/>
    </row>
  </sheetData>
  <sortState ref="A2:GF57">
    <sortCondition ref="C2:C57"/>
  </sortState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242"/>
  <sheetViews>
    <sheetView tabSelected="1" zoomScale="129" zoomScaleNormal="129" workbookViewId="0">
      <selection activeCell="C1" sqref="C1:M32"/>
    </sheetView>
  </sheetViews>
  <sheetFormatPr defaultRowHeight="15.75" x14ac:dyDescent="0.25"/>
  <cols>
    <col min="1" max="1" width="13.625" style="239" customWidth="1"/>
    <col min="2" max="2" width="9" style="238" customWidth="1"/>
  </cols>
  <sheetData>
    <row r="1" spans="1:153" x14ac:dyDescent="0.25">
      <c r="A1" s="252" t="s">
        <v>367</v>
      </c>
      <c r="B1" s="268" t="s">
        <v>368</v>
      </c>
      <c r="C1" s="234" t="s">
        <v>400</v>
      </c>
      <c r="D1" s="234" t="s">
        <v>401</v>
      </c>
      <c r="E1" s="234" t="s">
        <v>402</v>
      </c>
      <c r="F1" s="234" t="s">
        <v>403</v>
      </c>
      <c r="G1" s="234" t="s">
        <v>404</v>
      </c>
      <c r="H1" s="234" t="s">
        <v>405</v>
      </c>
      <c r="I1" s="234" t="s">
        <v>406</v>
      </c>
      <c r="J1" t="s">
        <v>398</v>
      </c>
      <c r="K1" s="234" t="s">
        <v>399</v>
      </c>
      <c r="L1" s="234" t="s">
        <v>400</v>
      </c>
      <c r="M1" s="234" t="s">
        <v>401</v>
      </c>
      <c r="N1" s="234" t="s">
        <v>402</v>
      </c>
      <c r="O1" s="234" t="s">
        <v>403</v>
      </c>
      <c r="P1" s="234" t="s">
        <v>404</v>
      </c>
      <c r="Q1" s="234" t="s">
        <v>405</v>
      </c>
      <c r="R1" s="234" t="s">
        <v>406</v>
      </c>
    </row>
    <row r="2" spans="1:153" x14ac:dyDescent="0.25">
      <c r="A2" s="256">
        <v>41313</v>
      </c>
      <c r="B2" s="254">
        <v>7</v>
      </c>
      <c r="C2" s="234">
        <f t="shared" ref="C2:C33" ca="1" si="0">F2+2.66*O2</f>
        <v>21.028823529411767</v>
      </c>
      <c r="D2" s="234">
        <f t="shared" ref="D2:D33" ca="1" si="1">F2+(2/3)*2.66*O2</f>
        <v>17.038823529411765</v>
      </c>
      <c r="E2" s="234">
        <f t="shared" ref="E2:E33" ca="1" si="2">F2+(1/3)*2.66*O2</f>
        <v>13.048823529411765</v>
      </c>
      <c r="F2" s="234">
        <f t="shared" ref="F2:F18" si="3">AVERAGE($B$2:$B$18)</f>
        <v>9.0588235294117645</v>
      </c>
      <c r="G2" s="234">
        <f t="shared" ref="G2:G33" ca="1" si="4">F2-(1/3)*2.66*O2</f>
        <v>5.0688235294117643</v>
      </c>
      <c r="H2" s="234">
        <f t="shared" ref="H2:H33" ca="1" si="5">F2-(2/3)*2.66*O2</f>
        <v>1.0788235294117641</v>
      </c>
      <c r="I2" s="234">
        <f t="shared" ref="I2:I33" ca="1" si="6">F2-2.66*O2</f>
        <v>-2.9111764705882361</v>
      </c>
      <c r="J2" s="234">
        <f>B2</f>
        <v>7</v>
      </c>
      <c r="K2" s="234"/>
      <c r="L2" s="234"/>
      <c r="M2" s="234"/>
      <c r="N2" s="234"/>
      <c r="O2" s="234">
        <f t="shared" ref="O2:O18" ca="1" si="7">AVERAGE($K$2:$K$18)</f>
        <v>4.5</v>
      </c>
      <c r="P2" s="234"/>
      <c r="Q2" s="234"/>
      <c r="R2" s="234"/>
    </row>
    <row r="3" spans="1:153" x14ac:dyDescent="0.25">
      <c r="A3" s="256">
        <v>41382</v>
      </c>
      <c r="B3" s="254">
        <v>11</v>
      </c>
      <c r="C3" s="234">
        <f t="shared" ca="1" si="0"/>
        <v>21.028823529411767</v>
      </c>
      <c r="D3" s="234">
        <f t="shared" ca="1" si="1"/>
        <v>17.038823529411765</v>
      </c>
      <c r="E3" s="234">
        <f t="shared" ca="1" si="2"/>
        <v>13.048823529411765</v>
      </c>
      <c r="F3" s="234">
        <f t="shared" si="3"/>
        <v>9.0588235294117645</v>
      </c>
      <c r="G3" s="234">
        <f t="shared" ca="1" si="4"/>
        <v>5.0688235294117643</v>
      </c>
      <c r="H3" s="234">
        <f t="shared" ca="1" si="5"/>
        <v>1.0788235294117641</v>
      </c>
      <c r="I3" s="234">
        <f t="shared" ca="1" si="6"/>
        <v>-2.9111764705882361</v>
      </c>
      <c r="J3">
        <f t="shared" ref="J3:J34" ca="1" si="8">IF(ISBLANK(B3),OFFSET(J3,-1,0,1,1),B3)</f>
        <v>11</v>
      </c>
      <c r="K3" s="234">
        <f t="shared" ref="K3:K34" ca="1" si="9">IF(OR(OFFSET(K3,-1,-9,1,1)="",OFFSET(K3,0,-9,1,1)=""),"",IF(ISERROR(ABS(B3-OFFSET(K3,-1,-1,1,1))),"",ABS(B3-OFFSET(K3,-1,-1,1,1))))</f>
        <v>4</v>
      </c>
      <c r="L3" s="234">
        <f t="shared" ref="L3:L34" ca="1" si="10">3.267*O3</f>
        <v>14.701499999999999</v>
      </c>
      <c r="M3" s="234">
        <f t="shared" ref="M3:M34" ca="1" si="11">(2/3)*(L3-O3)+O3</f>
        <v>11.300999999999998</v>
      </c>
      <c r="N3" s="234">
        <f t="shared" ref="N3:N34" ca="1" si="12">(1/3)*(L3-O3)+O3</f>
        <v>7.9004999999999992</v>
      </c>
      <c r="O3" s="234">
        <f t="shared" ca="1" si="7"/>
        <v>4.5</v>
      </c>
      <c r="P3" s="234">
        <f t="shared" ref="P3:P34" ca="1" si="13">(MAX(O3-(1/3)*(L3-O3),0))</f>
        <v>1.0995000000000004</v>
      </c>
      <c r="Q3" s="234">
        <f t="shared" ref="Q3:Q34" ca="1" si="14">MAX(O3-(2/3)*(L3-O3),0)</f>
        <v>0</v>
      </c>
      <c r="R3" s="234">
        <v>0</v>
      </c>
    </row>
    <row r="4" spans="1:153" x14ac:dyDescent="0.25">
      <c r="A4" s="256">
        <v>41410</v>
      </c>
      <c r="B4" s="254">
        <v>5</v>
      </c>
      <c r="C4" s="234">
        <f t="shared" ca="1" si="0"/>
        <v>21.028823529411767</v>
      </c>
      <c r="D4" s="234">
        <f t="shared" ca="1" si="1"/>
        <v>17.038823529411765</v>
      </c>
      <c r="E4" s="234">
        <f t="shared" ca="1" si="2"/>
        <v>13.048823529411765</v>
      </c>
      <c r="F4" s="234">
        <f t="shared" si="3"/>
        <v>9.0588235294117645</v>
      </c>
      <c r="G4" s="234">
        <f t="shared" ca="1" si="4"/>
        <v>5.0688235294117643</v>
      </c>
      <c r="H4" s="234">
        <f t="shared" ca="1" si="5"/>
        <v>1.0788235294117641</v>
      </c>
      <c r="I4" s="234">
        <f t="shared" ca="1" si="6"/>
        <v>-2.9111764705882361</v>
      </c>
      <c r="J4">
        <f t="shared" ca="1" si="8"/>
        <v>5</v>
      </c>
      <c r="K4" s="234">
        <f t="shared" ca="1" si="9"/>
        <v>6</v>
      </c>
      <c r="L4" s="234">
        <f t="shared" ca="1" si="10"/>
        <v>14.701499999999999</v>
      </c>
      <c r="M4" s="234">
        <f t="shared" ca="1" si="11"/>
        <v>11.300999999999998</v>
      </c>
      <c r="N4" s="234">
        <f t="shared" ca="1" si="12"/>
        <v>7.9004999999999992</v>
      </c>
      <c r="O4" s="234">
        <f t="shared" ca="1" si="7"/>
        <v>4.5</v>
      </c>
      <c r="P4" s="234">
        <f t="shared" ca="1" si="13"/>
        <v>1.0995000000000004</v>
      </c>
      <c r="Q4" s="234">
        <f t="shared" ca="1" si="14"/>
        <v>0</v>
      </c>
      <c r="R4" s="234">
        <v>0</v>
      </c>
    </row>
    <row r="5" spans="1:153" x14ac:dyDescent="0.25">
      <c r="A5" s="256">
        <v>41411</v>
      </c>
      <c r="B5" s="254">
        <v>6</v>
      </c>
      <c r="C5" s="234">
        <f t="shared" ca="1" si="0"/>
        <v>21.028823529411767</v>
      </c>
      <c r="D5" s="234">
        <f t="shared" ca="1" si="1"/>
        <v>17.038823529411765</v>
      </c>
      <c r="E5" s="234">
        <f t="shared" ca="1" si="2"/>
        <v>13.048823529411765</v>
      </c>
      <c r="F5" s="234">
        <f t="shared" si="3"/>
        <v>9.0588235294117645</v>
      </c>
      <c r="G5" s="234">
        <f t="shared" ca="1" si="4"/>
        <v>5.0688235294117643</v>
      </c>
      <c r="H5" s="234">
        <f t="shared" ca="1" si="5"/>
        <v>1.0788235294117641</v>
      </c>
      <c r="I5" s="234">
        <f t="shared" ca="1" si="6"/>
        <v>-2.9111764705882361</v>
      </c>
      <c r="J5">
        <f t="shared" ca="1" si="8"/>
        <v>6</v>
      </c>
      <c r="K5" s="234">
        <f t="shared" ca="1" si="9"/>
        <v>1</v>
      </c>
      <c r="L5" s="234">
        <f t="shared" ca="1" si="10"/>
        <v>14.701499999999999</v>
      </c>
      <c r="M5" s="234">
        <f t="shared" ca="1" si="11"/>
        <v>11.300999999999998</v>
      </c>
      <c r="N5" s="234">
        <f t="shared" ca="1" si="12"/>
        <v>7.9004999999999992</v>
      </c>
      <c r="O5" s="234">
        <f t="shared" ca="1" si="7"/>
        <v>4.5</v>
      </c>
      <c r="P5" s="234">
        <f t="shared" ca="1" si="13"/>
        <v>1.0995000000000004</v>
      </c>
      <c r="Q5" s="234">
        <f t="shared" ca="1" si="14"/>
        <v>0</v>
      </c>
      <c r="R5" s="234">
        <v>0</v>
      </c>
    </row>
    <row r="6" spans="1:153" x14ac:dyDescent="0.25">
      <c r="A6" s="256">
        <v>41424</v>
      </c>
      <c r="B6" s="254">
        <v>4</v>
      </c>
      <c r="C6" s="234">
        <f t="shared" ca="1" si="0"/>
        <v>21.028823529411767</v>
      </c>
      <c r="D6" s="234">
        <f t="shared" ca="1" si="1"/>
        <v>17.038823529411765</v>
      </c>
      <c r="E6" s="234">
        <f t="shared" ca="1" si="2"/>
        <v>13.048823529411765</v>
      </c>
      <c r="F6" s="234">
        <f t="shared" si="3"/>
        <v>9.0588235294117645</v>
      </c>
      <c r="G6" s="234">
        <f t="shared" ca="1" si="4"/>
        <v>5.0688235294117643</v>
      </c>
      <c r="H6" s="234">
        <f t="shared" ca="1" si="5"/>
        <v>1.0788235294117641</v>
      </c>
      <c r="I6" s="234">
        <f t="shared" ca="1" si="6"/>
        <v>-2.9111764705882361</v>
      </c>
      <c r="J6">
        <f t="shared" ca="1" si="8"/>
        <v>4</v>
      </c>
      <c r="K6" s="234">
        <f t="shared" ca="1" si="9"/>
        <v>2</v>
      </c>
      <c r="L6" s="234">
        <f t="shared" ca="1" si="10"/>
        <v>14.701499999999999</v>
      </c>
      <c r="M6" s="234">
        <f t="shared" ca="1" si="11"/>
        <v>11.300999999999998</v>
      </c>
      <c r="N6" s="234">
        <f t="shared" ca="1" si="12"/>
        <v>7.9004999999999992</v>
      </c>
      <c r="O6" s="234">
        <f t="shared" ca="1" si="7"/>
        <v>4.5</v>
      </c>
      <c r="P6" s="234">
        <f t="shared" ca="1" si="13"/>
        <v>1.0995000000000004</v>
      </c>
      <c r="Q6" s="234">
        <f t="shared" ca="1" si="14"/>
        <v>0</v>
      </c>
      <c r="R6" s="234">
        <v>0</v>
      </c>
    </row>
    <row r="7" spans="1:153" x14ac:dyDescent="0.25">
      <c r="A7" s="256">
        <v>41437</v>
      </c>
      <c r="B7" s="254">
        <v>17</v>
      </c>
      <c r="C7" s="234">
        <f t="shared" ca="1" si="0"/>
        <v>21.028823529411767</v>
      </c>
      <c r="D7" s="234">
        <f t="shared" ca="1" si="1"/>
        <v>17.038823529411765</v>
      </c>
      <c r="E7" s="234">
        <f t="shared" ca="1" si="2"/>
        <v>13.048823529411765</v>
      </c>
      <c r="F7" s="234">
        <f t="shared" si="3"/>
        <v>9.0588235294117645</v>
      </c>
      <c r="G7" s="234">
        <f t="shared" ca="1" si="4"/>
        <v>5.0688235294117643</v>
      </c>
      <c r="H7" s="234">
        <f t="shared" ca="1" si="5"/>
        <v>1.0788235294117641</v>
      </c>
      <c r="I7" s="234">
        <f t="shared" ca="1" si="6"/>
        <v>-2.9111764705882361</v>
      </c>
      <c r="J7">
        <f t="shared" ca="1" si="8"/>
        <v>17</v>
      </c>
      <c r="K7" s="234">
        <f t="shared" ca="1" si="9"/>
        <v>13</v>
      </c>
      <c r="L7" s="234">
        <f t="shared" ca="1" si="10"/>
        <v>14.701499999999999</v>
      </c>
      <c r="M7" s="234">
        <f t="shared" ca="1" si="11"/>
        <v>11.300999999999998</v>
      </c>
      <c r="N7" s="234">
        <f t="shared" ca="1" si="12"/>
        <v>7.9004999999999992</v>
      </c>
      <c r="O7" s="234">
        <f t="shared" ca="1" si="7"/>
        <v>4.5</v>
      </c>
      <c r="P7" s="234">
        <f t="shared" ca="1" si="13"/>
        <v>1.0995000000000004</v>
      </c>
      <c r="Q7" s="234">
        <f t="shared" ca="1" si="14"/>
        <v>0</v>
      </c>
      <c r="R7" s="234">
        <v>0</v>
      </c>
    </row>
    <row r="8" spans="1:153" x14ac:dyDescent="0.25">
      <c r="A8" s="256">
        <v>41493</v>
      </c>
      <c r="B8" s="254">
        <v>14</v>
      </c>
      <c r="C8" s="234">
        <f t="shared" ca="1" si="0"/>
        <v>21.028823529411767</v>
      </c>
      <c r="D8" s="234">
        <f t="shared" ca="1" si="1"/>
        <v>17.038823529411765</v>
      </c>
      <c r="E8" s="234">
        <f t="shared" ca="1" si="2"/>
        <v>13.048823529411765</v>
      </c>
      <c r="F8" s="234">
        <f t="shared" si="3"/>
        <v>9.0588235294117645</v>
      </c>
      <c r="G8" s="234">
        <f t="shared" ca="1" si="4"/>
        <v>5.0688235294117643</v>
      </c>
      <c r="H8" s="234">
        <f t="shared" ca="1" si="5"/>
        <v>1.0788235294117641</v>
      </c>
      <c r="I8" s="234">
        <f t="shared" ca="1" si="6"/>
        <v>-2.9111764705882361</v>
      </c>
      <c r="J8">
        <f t="shared" ca="1" si="8"/>
        <v>14</v>
      </c>
      <c r="K8" s="234">
        <f t="shared" ca="1" si="9"/>
        <v>3</v>
      </c>
      <c r="L8" s="234">
        <f t="shared" ca="1" si="10"/>
        <v>14.701499999999999</v>
      </c>
      <c r="M8" s="234">
        <f t="shared" ca="1" si="11"/>
        <v>11.300999999999998</v>
      </c>
      <c r="N8" s="234">
        <f t="shared" ca="1" si="12"/>
        <v>7.9004999999999992</v>
      </c>
      <c r="O8" s="234">
        <f t="shared" ca="1" si="7"/>
        <v>4.5</v>
      </c>
      <c r="P8" s="234">
        <f t="shared" ca="1" si="13"/>
        <v>1.0995000000000004</v>
      </c>
      <c r="Q8" s="234">
        <f t="shared" ca="1" si="14"/>
        <v>0</v>
      </c>
      <c r="R8" s="234">
        <v>0</v>
      </c>
    </row>
    <row r="9" spans="1:153" x14ac:dyDescent="0.25">
      <c r="A9" s="256">
        <v>41641</v>
      </c>
      <c r="B9" s="254">
        <v>7</v>
      </c>
      <c r="C9" s="234">
        <f t="shared" ca="1" si="0"/>
        <v>21.028823529411767</v>
      </c>
      <c r="D9" s="234">
        <f t="shared" ca="1" si="1"/>
        <v>17.038823529411765</v>
      </c>
      <c r="E9" s="234">
        <f t="shared" ca="1" si="2"/>
        <v>13.048823529411765</v>
      </c>
      <c r="F9" s="234">
        <f t="shared" si="3"/>
        <v>9.0588235294117645</v>
      </c>
      <c r="G9" s="234">
        <f t="shared" ca="1" si="4"/>
        <v>5.0688235294117643</v>
      </c>
      <c r="H9" s="234">
        <f t="shared" ca="1" si="5"/>
        <v>1.0788235294117641</v>
      </c>
      <c r="I9" s="234">
        <f t="shared" ca="1" si="6"/>
        <v>-2.9111764705882361</v>
      </c>
      <c r="J9">
        <f t="shared" ca="1" si="8"/>
        <v>7</v>
      </c>
      <c r="K9" s="234">
        <f t="shared" ca="1" si="9"/>
        <v>7</v>
      </c>
      <c r="L9" s="234">
        <f t="shared" ca="1" si="10"/>
        <v>14.701499999999999</v>
      </c>
      <c r="M9" s="234">
        <f t="shared" ca="1" si="11"/>
        <v>11.300999999999998</v>
      </c>
      <c r="N9" s="234">
        <f t="shared" ca="1" si="12"/>
        <v>7.9004999999999992</v>
      </c>
      <c r="O9" s="234">
        <f t="shared" ca="1" si="7"/>
        <v>4.5</v>
      </c>
      <c r="P9" s="234">
        <f t="shared" ca="1" si="13"/>
        <v>1.0995000000000004</v>
      </c>
      <c r="Q9" s="234">
        <f t="shared" ca="1" si="14"/>
        <v>0</v>
      </c>
      <c r="R9" s="234">
        <v>0</v>
      </c>
    </row>
    <row r="10" spans="1:153" x14ac:dyDescent="0.25">
      <c r="A10" s="256">
        <v>41662</v>
      </c>
      <c r="B10" s="254">
        <v>19</v>
      </c>
      <c r="C10" s="234">
        <f t="shared" ca="1" si="0"/>
        <v>21.028823529411767</v>
      </c>
      <c r="D10" s="234">
        <f t="shared" ca="1" si="1"/>
        <v>17.038823529411765</v>
      </c>
      <c r="E10" s="234">
        <f t="shared" ca="1" si="2"/>
        <v>13.048823529411765</v>
      </c>
      <c r="F10" s="234">
        <f t="shared" si="3"/>
        <v>9.0588235294117645</v>
      </c>
      <c r="G10" s="234">
        <f t="shared" ca="1" si="4"/>
        <v>5.0688235294117643</v>
      </c>
      <c r="H10" s="234">
        <f t="shared" ca="1" si="5"/>
        <v>1.0788235294117641</v>
      </c>
      <c r="I10" s="234">
        <f t="shared" ca="1" si="6"/>
        <v>-2.9111764705882361</v>
      </c>
      <c r="J10">
        <f t="shared" ca="1" si="8"/>
        <v>19</v>
      </c>
      <c r="K10" s="234">
        <f t="shared" ca="1" si="9"/>
        <v>12</v>
      </c>
      <c r="L10" s="234">
        <f t="shared" ca="1" si="10"/>
        <v>14.701499999999999</v>
      </c>
      <c r="M10" s="234">
        <f t="shared" ca="1" si="11"/>
        <v>11.300999999999998</v>
      </c>
      <c r="N10" s="234">
        <f t="shared" ca="1" si="12"/>
        <v>7.9004999999999992</v>
      </c>
      <c r="O10" s="234">
        <f t="shared" ca="1" si="7"/>
        <v>4.5</v>
      </c>
      <c r="P10" s="234">
        <f t="shared" ca="1" si="13"/>
        <v>1.0995000000000004</v>
      </c>
      <c r="Q10" s="234">
        <f t="shared" ca="1" si="14"/>
        <v>0</v>
      </c>
      <c r="R10" s="234">
        <v>0</v>
      </c>
    </row>
    <row r="11" spans="1:153" x14ac:dyDescent="0.25">
      <c r="A11" s="256">
        <v>41662</v>
      </c>
      <c r="B11" s="254">
        <v>11</v>
      </c>
      <c r="C11" s="234">
        <f t="shared" ca="1" si="0"/>
        <v>21.028823529411767</v>
      </c>
      <c r="D11" s="234">
        <f t="shared" ca="1" si="1"/>
        <v>17.038823529411765</v>
      </c>
      <c r="E11" s="234">
        <f t="shared" ca="1" si="2"/>
        <v>13.048823529411765</v>
      </c>
      <c r="F11" s="234">
        <f t="shared" si="3"/>
        <v>9.0588235294117645</v>
      </c>
      <c r="G11" s="234">
        <f t="shared" ca="1" si="4"/>
        <v>5.0688235294117643</v>
      </c>
      <c r="H11" s="234">
        <f t="shared" ca="1" si="5"/>
        <v>1.0788235294117641</v>
      </c>
      <c r="I11" s="234">
        <f t="shared" ca="1" si="6"/>
        <v>-2.9111764705882361</v>
      </c>
      <c r="J11">
        <f t="shared" ca="1" si="8"/>
        <v>11</v>
      </c>
      <c r="K11" s="234">
        <f t="shared" ca="1" si="9"/>
        <v>8</v>
      </c>
      <c r="L11" s="234">
        <f t="shared" ca="1" si="10"/>
        <v>14.701499999999999</v>
      </c>
      <c r="M11" s="234">
        <f t="shared" ca="1" si="11"/>
        <v>11.300999999999998</v>
      </c>
      <c r="N11" s="234">
        <f t="shared" ca="1" si="12"/>
        <v>7.9004999999999992</v>
      </c>
      <c r="O11" s="234">
        <f t="shared" ca="1" si="7"/>
        <v>4.5</v>
      </c>
      <c r="P11" s="234">
        <f t="shared" ca="1" si="13"/>
        <v>1.0995000000000004</v>
      </c>
      <c r="Q11" s="234">
        <f t="shared" ca="1" si="14"/>
        <v>0</v>
      </c>
      <c r="R11" s="234">
        <v>0</v>
      </c>
    </row>
    <row r="12" spans="1:153" x14ac:dyDescent="0.25">
      <c r="A12" s="256">
        <v>41663</v>
      </c>
      <c r="B12" s="254">
        <v>6</v>
      </c>
      <c r="C12" s="234">
        <f t="shared" ca="1" si="0"/>
        <v>21.028823529411767</v>
      </c>
      <c r="D12" s="234">
        <f t="shared" ca="1" si="1"/>
        <v>17.038823529411765</v>
      </c>
      <c r="E12" s="234">
        <f t="shared" ca="1" si="2"/>
        <v>13.048823529411765</v>
      </c>
      <c r="F12" s="234">
        <f t="shared" si="3"/>
        <v>9.0588235294117645</v>
      </c>
      <c r="G12" s="234">
        <f t="shared" ca="1" si="4"/>
        <v>5.0688235294117643</v>
      </c>
      <c r="H12" s="234">
        <f t="shared" ca="1" si="5"/>
        <v>1.0788235294117641</v>
      </c>
      <c r="I12" s="234">
        <f t="shared" ca="1" si="6"/>
        <v>-2.9111764705882361</v>
      </c>
      <c r="J12">
        <f t="shared" ca="1" si="8"/>
        <v>6</v>
      </c>
      <c r="K12" s="234">
        <f t="shared" ca="1" si="9"/>
        <v>5</v>
      </c>
      <c r="L12" s="234">
        <f t="shared" ca="1" si="10"/>
        <v>14.701499999999999</v>
      </c>
      <c r="M12" s="234">
        <f t="shared" ca="1" si="11"/>
        <v>11.300999999999998</v>
      </c>
      <c r="N12" s="234">
        <f t="shared" ca="1" si="12"/>
        <v>7.9004999999999992</v>
      </c>
      <c r="O12" s="234">
        <f t="shared" ca="1" si="7"/>
        <v>4.5</v>
      </c>
      <c r="P12" s="234">
        <f t="shared" ca="1" si="13"/>
        <v>1.0995000000000004</v>
      </c>
      <c r="Q12" s="234">
        <f t="shared" ca="1" si="14"/>
        <v>0</v>
      </c>
      <c r="R12" s="234">
        <v>0</v>
      </c>
    </row>
    <row r="13" spans="1:153" x14ac:dyDescent="0.25">
      <c r="A13" s="256">
        <v>41669</v>
      </c>
      <c r="B13" s="254">
        <v>6</v>
      </c>
      <c r="C13" s="234">
        <f t="shared" ca="1" si="0"/>
        <v>21.028823529411767</v>
      </c>
      <c r="D13" s="234">
        <f t="shared" ca="1" si="1"/>
        <v>17.038823529411765</v>
      </c>
      <c r="E13" s="234">
        <f t="shared" ca="1" si="2"/>
        <v>13.048823529411765</v>
      </c>
      <c r="F13" s="234">
        <f t="shared" si="3"/>
        <v>9.0588235294117645</v>
      </c>
      <c r="G13" s="234">
        <f t="shared" ca="1" si="4"/>
        <v>5.0688235294117643</v>
      </c>
      <c r="H13" s="234">
        <f t="shared" ca="1" si="5"/>
        <v>1.0788235294117641</v>
      </c>
      <c r="I13" s="234">
        <f t="shared" ca="1" si="6"/>
        <v>-2.9111764705882361</v>
      </c>
      <c r="J13">
        <f t="shared" ca="1" si="8"/>
        <v>6</v>
      </c>
      <c r="K13" s="234">
        <f t="shared" ca="1" si="9"/>
        <v>0</v>
      </c>
      <c r="L13" s="234">
        <f t="shared" ca="1" si="10"/>
        <v>14.701499999999999</v>
      </c>
      <c r="M13" s="234">
        <f t="shared" ca="1" si="11"/>
        <v>11.300999999999998</v>
      </c>
      <c r="N13" s="234">
        <f t="shared" ca="1" si="12"/>
        <v>7.9004999999999992</v>
      </c>
      <c r="O13" s="234">
        <f t="shared" ca="1" si="7"/>
        <v>4.5</v>
      </c>
      <c r="P13" s="234">
        <f t="shared" ca="1" si="13"/>
        <v>1.0995000000000004</v>
      </c>
      <c r="Q13" s="234">
        <f t="shared" ca="1" si="14"/>
        <v>0</v>
      </c>
      <c r="R13" s="234">
        <v>0</v>
      </c>
    </row>
    <row r="14" spans="1:153" x14ac:dyDescent="0.25">
      <c r="A14" s="256">
        <v>41698</v>
      </c>
      <c r="B14" s="254">
        <v>6</v>
      </c>
      <c r="C14" s="234">
        <f t="shared" ca="1" si="0"/>
        <v>21.028823529411767</v>
      </c>
      <c r="D14" s="234">
        <f t="shared" ca="1" si="1"/>
        <v>17.038823529411765</v>
      </c>
      <c r="E14" s="234">
        <f t="shared" ca="1" si="2"/>
        <v>13.048823529411765</v>
      </c>
      <c r="F14" s="234">
        <f t="shared" si="3"/>
        <v>9.0588235294117645</v>
      </c>
      <c r="G14" s="234">
        <f t="shared" ca="1" si="4"/>
        <v>5.0688235294117643</v>
      </c>
      <c r="H14" s="234">
        <f t="shared" ca="1" si="5"/>
        <v>1.0788235294117641</v>
      </c>
      <c r="I14" s="234">
        <f t="shared" ca="1" si="6"/>
        <v>-2.9111764705882361</v>
      </c>
      <c r="J14">
        <f t="shared" ca="1" si="8"/>
        <v>6</v>
      </c>
      <c r="K14" s="234">
        <f t="shared" ca="1" si="9"/>
        <v>0</v>
      </c>
      <c r="L14" s="234">
        <f t="shared" ca="1" si="10"/>
        <v>14.701499999999999</v>
      </c>
      <c r="M14" s="234">
        <f t="shared" ca="1" si="11"/>
        <v>11.300999999999998</v>
      </c>
      <c r="N14" s="234">
        <f t="shared" ca="1" si="12"/>
        <v>7.9004999999999992</v>
      </c>
      <c r="O14" s="234">
        <f t="shared" ca="1" si="7"/>
        <v>4.5</v>
      </c>
      <c r="P14" s="234">
        <f t="shared" ca="1" si="13"/>
        <v>1.0995000000000004</v>
      </c>
      <c r="Q14" s="234">
        <f t="shared" ca="1" si="14"/>
        <v>0</v>
      </c>
      <c r="R14" s="234">
        <v>0</v>
      </c>
    </row>
    <row r="15" spans="1:153" x14ac:dyDescent="0.25">
      <c r="A15" s="236">
        <v>41747</v>
      </c>
      <c r="B15" s="254">
        <v>6</v>
      </c>
      <c r="C15" s="234">
        <f t="shared" ca="1" si="0"/>
        <v>21.028823529411767</v>
      </c>
      <c r="D15" s="234">
        <f t="shared" ca="1" si="1"/>
        <v>17.038823529411765</v>
      </c>
      <c r="E15" s="234">
        <f t="shared" ca="1" si="2"/>
        <v>13.048823529411765</v>
      </c>
      <c r="F15" s="234">
        <f t="shared" si="3"/>
        <v>9.0588235294117645</v>
      </c>
      <c r="G15" s="234">
        <f t="shared" ca="1" si="4"/>
        <v>5.0688235294117643</v>
      </c>
      <c r="H15" s="234">
        <f t="shared" ca="1" si="5"/>
        <v>1.0788235294117641</v>
      </c>
      <c r="I15" s="234">
        <f t="shared" ca="1" si="6"/>
        <v>-2.9111764705882361</v>
      </c>
      <c r="J15">
        <f t="shared" ca="1" si="8"/>
        <v>6</v>
      </c>
      <c r="K15" s="234">
        <f t="shared" ca="1" si="9"/>
        <v>0</v>
      </c>
      <c r="L15" s="234">
        <f t="shared" ca="1" si="10"/>
        <v>14.701499999999999</v>
      </c>
      <c r="M15" s="234">
        <f t="shared" ca="1" si="11"/>
        <v>11.300999999999998</v>
      </c>
      <c r="N15" s="234">
        <f t="shared" ca="1" si="12"/>
        <v>7.9004999999999992</v>
      </c>
      <c r="O15" s="234">
        <f t="shared" ca="1" si="7"/>
        <v>4.5</v>
      </c>
      <c r="P15" s="234">
        <f t="shared" ca="1" si="13"/>
        <v>1.0995000000000004</v>
      </c>
      <c r="Q15" s="234">
        <f t="shared" ca="1" si="14"/>
        <v>0</v>
      </c>
      <c r="R15" s="234">
        <v>0</v>
      </c>
    </row>
    <row r="16" spans="1:153" x14ac:dyDescent="0.25">
      <c r="A16" s="236">
        <v>41760</v>
      </c>
      <c r="B16" s="254">
        <v>9</v>
      </c>
      <c r="C16" s="234">
        <f t="shared" ca="1" si="0"/>
        <v>21.028823529411767</v>
      </c>
      <c r="D16" s="234">
        <f t="shared" ca="1" si="1"/>
        <v>17.038823529411765</v>
      </c>
      <c r="E16" s="234">
        <f t="shared" ca="1" si="2"/>
        <v>13.048823529411765</v>
      </c>
      <c r="F16" s="234">
        <f t="shared" si="3"/>
        <v>9.0588235294117645</v>
      </c>
      <c r="G16" s="234">
        <f t="shared" ca="1" si="4"/>
        <v>5.0688235294117643</v>
      </c>
      <c r="H16" s="234">
        <f t="shared" ca="1" si="5"/>
        <v>1.0788235294117641</v>
      </c>
      <c r="I16" s="234">
        <f t="shared" ca="1" si="6"/>
        <v>-2.9111764705882361</v>
      </c>
      <c r="J16">
        <f t="shared" ca="1" si="8"/>
        <v>9</v>
      </c>
      <c r="K16" s="234">
        <f t="shared" ca="1" si="9"/>
        <v>3</v>
      </c>
      <c r="L16" s="234">
        <f t="shared" ca="1" si="10"/>
        <v>14.701499999999999</v>
      </c>
      <c r="M16" s="234">
        <f t="shared" ca="1" si="11"/>
        <v>11.300999999999998</v>
      </c>
      <c r="N16" s="234">
        <f t="shared" ca="1" si="12"/>
        <v>7.9004999999999992</v>
      </c>
      <c r="O16" s="234">
        <f t="shared" ca="1" si="7"/>
        <v>4.5</v>
      </c>
      <c r="P16" s="234">
        <f t="shared" ca="1" si="13"/>
        <v>1.0995000000000004</v>
      </c>
      <c r="Q16" s="234">
        <f t="shared" ca="1" si="14"/>
        <v>0</v>
      </c>
      <c r="R16" s="234">
        <v>0</v>
      </c>
    </row>
    <row r="17" spans="1:153" x14ac:dyDescent="0.25">
      <c r="A17" s="236">
        <v>41768</v>
      </c>
      <c r="B17" s="254">
        <v>7</v>
      </c>
      <c r="C17" s="234">
        <f t="shared" ca="1" si="0"/>
        <v>21.028823529411767</v>
      </c>
      <c r="D17" s="234">
        <f t="shared" ca="1" si="1"/>
        <v>17.038823529411765</v>
      </c>
      <c r="E17" s="234">
        <f t="shared" ca="1" si="2"/>
        <v>13.048823529411765</v>
      </c>
      <c r="F17" s="234">
        <f t="shared" si="3"/>
        <v>9.0588235294117645</v>
      </c>
      <c r="G17" s="234">
        <f t="shared" ca="1" si="4"/>
        <v>5.0688235294117643</v>
      </c>
      <c r="H17" s="234">
        <f t="shared" ca="1" si="5"/>
        <v>1.0788235294117641</v>
      </c>
      <c r="I17" s="234">
        <f t="shared" ca="1" si="6"/>
        <v>-2.9111764705882361</v>
      </c>
      <c r="J17">
        <f t="shared" ca="1" si="8"/>
        <v>7</v>
      </c>
      <c r="K17" s="234">
        <f t="shared" ca="1" si="9"/>
        <v>2</v>
      </c>
      <c r="L17" s="234">
        <f t="shared" ca="1" si="10"/>
        <v>14.701499999999999</v>
      </c>
      <c r="M17" s="234">
        <f t="shared" ca="1" si="11"/>
        <v>11.300999999999998</v>
      </c>
      <c r="N17" s="234">
        <f t="shared" ca="1" si="12"/>
        <v>7.9004999999999992</v>
      </c>
      <c r="O17" s="234">
        <f t="shared" ca="1" si="7"/>
        <v>4.5</v>
      </c>
      <c r="P17" s="234">
        <f t="shared" ca="1" si="13"/>
        <v>1.0995000000000004</v>
      </c>
      <c r="Q17" s="234">
        <f t="shared" ca="1" si="14"/>
        <v>0</v>
      </c>
      <c r="R17" s="234">
        <v>0</v>
      </c>
    </row>
    <row r="18" spans="1:153" x14ac:dyDescent="0.25">
      <c r="A18" s="237">
        <v>41781</v>
      </c>
      <c r="B18" s="254">
        <v>13</v>
      </c>
      <c r="C18" s="234">
        <f t="shared" ca="1" si="0"/>
        <v>21.028823529411767</v>
      </c>
      <c r="D18" s="234">
        <f t="shared" ca="1" si="1"/>
        <v>17.038823529411765</v>
      </c>
      <c r="E18" s="234">
        <f t="shared" ca="1" si="2"/>
        <v>13.048823529411765</v>
      </c>
      <c r="F18" s="234">
        <f t="shared" si="3"/>
        <v>9.0588235294117645</v>
      </c>
      <c r="G18" s="234">
        <f t="shared" ca="1" si="4"/>
        <v>5.0688235294117643</v>
      </c>
      <c r="H18" s="234">
        <f t="shared" ca="1" si="5"/>
        <v>1.0788235294117641</v>
      </c>
      <c r="I18" s="234">
        <f t="shared" ca="1" si="6"/>
        <v>-2.9111764705882361</v>
      </c>
      <c r="J18">
        <f t="shared" ca="1" si="8"/>
        <v>13</v>
      </c>
      <c r="K18" s="234">
        <f t="shared" ca="1" si="9"/>
        <v>6</v>
      </c>
      <c r="L18" s="234">
        <f t="shared" ca="1" si="10"/>
        <v>14.701499999999999</v>
      </c>
      <c r="M18" s="234">
        <f t="shared" ca="1" si="11"/>
        <v>11.300999999999998</v>
      </c>
      <c r="N18" s="234">
        <f t="shared" ca="1" si="12"/>
        <v>7.9004999999999992</v>
      </c>
      <c r="O18" s="234">
        <f t="shared" ca="1" si="7"/>
        <v>4.5</v>
      </c>
      <c r="P18" s="234">
        <f t="shared" ca="1" si="13"/>
        <v>1.0995000000000004</v>
      </c>
      <c r="Q18" s="234">
        <f t="shared" ca="1" si="14"/>
        <v>0</v>
      </c>
      <c r="R18" s="234">
        <v>0</v>
      </c>
    </row>
    <row r="19" spans="1:153" x14ac:dyDescent="0.25">
      <c r="A19"/>
      <c r="B19"/>
      <c r="J19">
        <f t="shared" ca="1" si="8"/>
        <v>13</v>
      </c>
    </row>
    <row r="20" spans="1:153" x14ac:dyDescent="0.25">
      <c r="A20" s="239">
        <v>41830</v>
      </c>
      <c r="B20" s="243">
        <v>6</v>
      </c>
      <c r="C20" s="234">
        <f t="shared" ca="1" si="0"/>
        <v>11.55076023391813</v>
      </c>
      <c r="D20" s="234">
        <f t="shared" ca="1" si="1"/>
        <v>9.8759454191033136</v>
      </c>
      <c r="E20" s="234">
        <f t="shared" ca="1" si="2"/>
        <v>8.2011306042884993</v>
      </c>
      <c r="F20" s="234">
        <f t="shared" ref="F20:F58" si="15">AVERAGE($B$20:$B$38)</f>
        <v>6.5263157894736841</v>
      </c>
      <c r="G20" s="234">
        <f t="shared" ca="1" si="4"/>
        <v>4.8515009746588689</v>
      </c>
      <c r="H20" s="234">
        <f t="shared" ca="1" si="5"/>
        <v>3.1766861598440546</v>
      </c>
      <c r="I20" s="234">
        <f t="shared" ca="1" si="6"/>
        <v>1.5018713450292394</v>
      </c>
      <c r="J20">
        <f t="shared" ca="1" si="8"/>
        <v>6</v>
      </c>
      <c r="L20" s="234">
        <f t="shared" ca="1" si="10"/>
        <v>6.1709999999999994</v>
      </c>
      <c r="M20" s="234">
        <f t="shared" ca="1" si="11"/>
        <v>4.7436296296296288</v>
      </c>
      <c r="N20" s="234">
        <f t="shared" ca="1" si="12"/>
        <v>3.316259259259259</v>
      </c>
      <c r="O20" s="234">
        <f t="shared" ref="O20:O58" ca="1" si="16">AVERAGE($K$20:$K$38)</f>
        <v>1.8888888888888888</v>
      </c>
      <c r="P20" s="234">
        <f t="shared" ca="1" si="13"/>
        <v>0.46151851851851888</v>
      </c>
      <c r="Q20" s="234">
        <f t="shared" ca="1" si="14"/>
        <v>0</v>
      </c>
      <c r="R20" s="234">
        <v>0</v>
      </c>
    </row>
    <row r="21" spans="1:153" x14ac:dyDescent="0.25">
      <c r="A21" s="239">
        <v>41844</v>
      </c>
      <c r="B21" s="243">
        <v>5</v>
      </c>
      <c r="C21" s="234">
        <f t="shared" ca="1" si="0"/>
        <v>11.55076023391813</v>
      </c>
      <c r="D21" s="234">
        <f t="shared" ca="1" si="1"/>
        <v>9.8759454191033136</v>
      </c>
      <c r="E21" s="234">
        <f t="shared" ca="1" si="2"/>
        <v>8.2011306042884993</v>
      </c>
      <c r="F21" s="234">
        <f t="shared" si="15"/>
        <v>6.5263157894736841</v>
      </c>
      <c r="G21" s="234">
        <f t="shared" ca="1" si="4"/>
        <v>4.8515009746588689</v>
      </c>
      <c r="H21" s="234">
        <f t="shared" ca="1" si="5"/>
        <v>3.1766861598440546</v>
      </c>
      <c r="I21" s="234">
        <f t="shared" ca="1" si="6"/>
        <v>1.5018713450292394</v>
      </c>
      <c r="J21">
        <f t="shared" ca="1" si="8"/>
        <v>5</v>
      </c>
      <c r="K21" s="234">
        <f t="shared" ca="1" si="9"/>
        <v>1</v>
      </c>
      <c r="L21" s="234">
        <f t="shared" ca="1" si="10"/>
        <v>6.1709999999999994</v>
      </c>
      <c r="M21" s="234">
        <f t="shared" ca="1" si="11"/>
        <v>4.7436296296296288</v>
      </c>
      <c r="N21" s="234">
        <f t="shared" ca="1" si="12"/>
        <v>3.316259259259259</v>
      </c>
      <c r="O21" s="234">
        <f t="shared" ca="1" si="16"/>
        <v>1.8888888888888888</v>
      </c>
      <c r="P21" s="234">
        <f t="shared" ca="1" si="13"/>
        <v>0.46151851851851888</v>
      </c>
      <c r="Q21" s="234">
        <f t="shared" ca="1" si="14"/>
        <v>0</v>
      </c>
      <c r="R21" s="234">
        <v>0</v>
      </c>
    </row>
    <row r="22" spans="1:153" x14ac:dyDescent="0.25">
      <c r="A22" s="239">
        <v>41844</v>
      </c>
      <c r="B22" s="243">
        <v>8</v>
      </c>
      <c r="C22" s="234">
        <f t="shared" ca="1" si="0"/>
        <v>11.55076023391813</v>
      </c>
      <c r="D22" s="234">
        <f t="shared" ca="1" si="1"/>
        <v>9.8759454191033136</v>
      </c>
      <c r="E22" s="234">
        <f t="shared" ca="1" si="2"/>
        <v>8.2011306042884993</v>
      </c>
      <c r="F22" s="234">
        <f t="shared" si="15"/>
        <v>6.5263157894736841</v>
      </c>
      <c r="G22" s="234">
        <f t="shared" ca="1" si="4"/>
        <v>4.8515009746588689</v>
      </c>
      <c r="H22" s="234">
        <f t="shared" ca="1" si="5"/>
        <v>3.1766861598440546</v>
      </c>
      <c r="I22" s="234">
        <f t="shared" ca="1" si="6"/>
        <v>1.5018713450292394</v>
      </c>
      <c r="J22">
        <f t="shared" ca="1" si="8"/>
        <v>8</v>
      </c>
      <c r="K22" s="234">
        <f t="shared" ca="1" si="9"/>
        <v>3</v>
      </c>
      <c r="L22" s="234">
        <f t="shared" ca="1" si="10"/>
        <v>6.1709999999999994</v>
      </c>
      <c r="M22" s="234">
        <f t="shared" ca="1" si="11"/>
        <v>4.7436296296296288</v>
      </c>
      <c r="N22" s="234">
        <f t="shared" ca="1" si="12"/>
        <v>3.316259259259259</v>
      </c>
      <c r="O22" s="234">
        <f t="shared" ca="1" si="16"/>
        <v>1.8888888888888888</v>
      </c>
      <c r="P22" s="234">
        <f t="shared" ca="1" si="13"/>
        <v>0.46151851851851888</v>
      </c>
      <c r="Q22" s="234">
        <f t="shared" ca="1" si="14"/>
        <v>0</v>
      </c>
      <c r="R22" s="234">
        <v>0</v>
      </c>
    </row>
    <row r="23" spans="1:153" x14ac:dyDescent="0.25">
      <c r="A23" s="239">
        <v>41851</v>
      </c>
      <c r="B23" s="243">
        <v>6</v>
      </c>
      <c r="C23" s="234">
        <f t="shared" ca="1" si="0"/>
        <v>11.55076023391813</v>
      </c>
      <c r="D23" s="234">
        <f t="shared" ca="1" si="1"/>
        <v>9.8759454191033136</v>
      </c>
      <c r="E23" s="234">
        <f t="shared" ca="1" si="2"/>
        <v>8.2011306042884993</v>
      </c>
      <c r="F23" s="234">
        <f t="shared" si="15"/>
        <v>6.5263157894736841</v>
      </c>
      <c r="G23" s="234">
        <f t="shared" ca="1" si="4"/>
        <v>4.8515009746588689</v>
      </c>
      <c r="H23" s="234">
        <f t="shared" ca="1" si="5"/>
        <v>3.1766861598440546</v>
      </c>
      <c r="I23" s="234">
        <f t="shared" ca="1" si="6"/>
        <v>1.5018713450292394</v>
      </c>
      <c r="J23">
        <f t="shared" ca="1" si="8"/>
        <v>6</v>
      </c>
      <c r="K23" s="234">
        <f t="shared" ca="1" si="9"/>
        <v>2</v>
      </c>
      <c r="L23" s="234">
        <f t="shared" ca="1" si="10"/>
        <v>6.1709999999999994</v>
      </c>
      <c r="M23" s="234">
        <f t="shared" ca="1" si="11"/>
        <v>4.7436296296296288</v>
      </c>
      <c r="N23" s="234">
        <f t="shared" ca="1" si="12"/>
        <v>3.316259259259259</v>
      </c>
      <c r="O23" s="234">
        <f t="shared" ca="1" si="16"/>
        <v>1.8888888888888888</v>
      </c>
      <c r="P23" s="234">
        <f t="shared" ca="1" si="13"/>
        <v>0.46151851851851888</v>
      </c>
      <c r="Q23" s="234">
        <f t="shared" ca="1" si="14"/>
        <v>0</v>
      </c>
      <c r="R23" s="234">
        <v>0</v>
      </c>
    </row>
    <row r="24" spans="1:153" x14ac:dyDescent="0.25">
      <c r="A24" s="257">
        <v>41887</v>
      </c>
      <c r="B24" s="243">
        <v>7</v>
      </c>
      <c r="C24" s="234">
        <f t="shared" ca="1" si="0"/>
        <v>11.55076023391813</v>
      </c>
      <c r="D24" s="234">
        <f t="shared" ca="1" si="1"/>
        <v>9.8759454191033136</v>
      </c>
      <c r="E24" s="234">
        <f t="shared" ca="1" si="2"/>
        <v>8.2011306042884993</v>
      </c>
      <c r="F24" s="234">
        <f t="shared" si="15"/>
        <v>6.5263157894736841</v>
      </c>
      <c r="G24" s="234">
        <f t="shared" ca="1" si="4"/>
        <v>4.8515009746588689</v>
      </c>
      <c r="H24" s="234">
        <f t="shared" ca="1" si="5"/>
        <v>3.1766861598440546</v>
      </c>
      <c r="I24" s="234">
        <f t="shared" ca="1" si="6"/>
        <v>1.5018713450292394</v>
      </c>
      <c r="J24">
        <f t="shared" ca="1" si="8"/>
        <v>7</v>
      </c>
      <c r="K24" s="234">
        <f t="shared" ca="1" si="9"/>
        <v>1</v>
      </c>
      <c r="L24" s="234">
        <f t="shared" ca="1" si="10"/>
        <v>6.1709999999999994</v>
      </c>
      <c r="M24" s="234">
        <f t="shared" ca="1" si="11"/>
        <v>4.7436296296296288</v>
      </c>
      <c r="N24" s="234">
        <f t="shared" ca="1" si="12"/>
        <v>3.316259259259259</v>
      </c>
      <c r="O24" s="234">
        <f t="shared" ca="1" si="16"/>
        <v>1.8888888888888888</v>
      </c>
      <c r="P24" s="234">
        <f t="shared" ca="1" si="13"/>
        <v>0.46151851851851888</v>
      </c>
      <c r="Q24" s="234">
        <f t="shared" ca="1" si="14"/>
        <v>0</v>
      </c>
      <c r="R24" s="234">
        <v>0</v>
      </c>
    </row>
    <row r="25" spans="1:153" x14ac:dyDescent="0.25">
      <c r="A25" s="239">
        <v>41907</v>
      </c>
      <c r="B25" s="243">
        <v>6</v>
      </c>
      <c r="C25" s="234">
        <f t="shared" ca="1" si="0"/>
        <v>11.55076023391813</v>
      </c>
      <c r="D25" s="234">
        <f t="shared" ca="1" si="1"/>
        <v>9.8759454191033136</v>
      </c>
      <c r="E25" s="234">
        <f t="shared" ca="1" si="2"/>
        <v>8.2011306042884993</v>
      </c>
      <c r="F25" s="234">
        <f t="shared" si="15"/>
        <v>6.5263157894736841</v>
      </c>
      <c r="G25" s="234">
        <f t="shared" ca="1" si="4"/>
        <v>4.8515009746588689</v>
      </c>
      <c r="H25" s="234">
        <f t="shared" ca="1" si="5"/>
        <v>3.1766861598440546</v>
      </c>
      <c r="I25" s="234">
        <f t="shared" ca="1" si="6"/>
        <v>1.5018713450292394</v>
      </c>
      <c r="J25">
        <f t="shared" ca="1" si="8"/>
        <v>6</v>
      </c>
      <c r="K25" s="234">
        <f t="shared" ca="1" si="9"/>
        <v>1</v>
      </c>
      <c r="L25" s="234">
        <f t="shared" ca="1" si="10"/>
        <v>6.1709999999999994</v>
      </c>
      <c r="M25" s="234">
        <f t="shared" ca="1" si="11"/>
        <v>4.7436296296296288</v>
      </c>
      <c r="N25" s="234">
        <f t="shared" ca="1" si="12"/>
        <v>3.316259259259259</v>
      </c>
      <c r="O25" s="234">
        <f t="shared" ca="1" si="16"/>
        <v>1.8888888888888888</v>
      </c>
      <c r="P25" s="234">
        <f t="shared" ca="1" si="13"/>
        <v>0.46151851851851888</v>
      </c>
      <c r="Q25" s="234">
        <f t="shared" ca="1" si="14"/>
        <v>0</v>
      </c>
      <c r="R25" s="234">
        <v>0</v>
      </c>
    </row>
    <row r="26" spans="1:153" x14ac:dyDescent="0.25">
      <c r="A26" s="239">
        <v>41935</v>
      </c>
      <c r="B26" s="243">
        <v>7</v>
      </c>
      <c r="C26" s="234">
        <f t="shared" ca="1" si="0"/>
        <v>11.55076023391813</v>
      </c>
      <c r="D26" s="234">
        <f t="shared" ca="1" si="1"/>
        <v>9.8759454191033136</v>
      </c>
      <c r="E26" s="234">
        <f t="shared" ca="1" si="2"/>
        <v>8.2011306042884993</v>
      </c>
      <c r="F26" s="234">
        <f t="shared" si="15"/>
        <v>6.5263157894736841</v>
      </c>
      <c r="G26" s="234">
        <f t="shared" ca="1" si="4"/>
        <v>4.8515009746588689</v>
      </c>
      <c r="H26" s="234">
        <f t="shared" ca="1" si="5"/>
        <v>3.1766861598440546</v>
      </c>
      <c r="I26" s="234">
        <f t="shared" ca="1" si="6"/>
        <v>1.5018713450292394</v>
      </c>
      <c r="J26">
        <f t="shared" ca="1" si="8"/>
        <v>7</v>
      </c>
      <c r="K26" s="234">
        <f t="shared" ca="1" si="9"/>
        <v>1</v>
      </c>
      <c r="L26" s="234">
        <f t="shared" ca="1" si="10"/>
        <v>6.1709999999999994</v>
      </c>
      <c r="M26" s="234">
        <f t="shared" ca="1" si="11"/>
        <v>4.7436296296296288</v>
      </c>
      <c r="N26" s="234">
        <f t="shared" ca="1" si="12"/>
        <v>3.316259259259259</v>
      </c>
      <c r="O26" s="234">
        <f t="shared" ca="1" si="16"/>
        <v>1.8888888888888888</v>
      </c>
      <c r="P26" s="234">
        <f t="shared" ca="1" si="13"/>
        <v>0.46151851851851888</v>
      </c>
      <c r="Q26" s="234">
        <f t="shared" ca="1" si="14"/>
        <v>0</v>
      </c>
      <c r="R26" s="234">
        <v>0</v>
      </c>
    </row>
    <row r="27" spans="1:153" x14ac:dyDescent="0.25">
      <c r="A27" s="239">
        <v>41935</v>
      </c>
      <c r="B27" s="243">
        <v>11</v>
      </c>
      <c r="C27" s="234">
        <f t="shared" ca="1" si="0"/>
        <v>11.55076023391813</v>
      </c>
      <c r="D27" s="234">
        <f t="shared" ca="1" si="1"/>
        <v>9.8759454191033136</v>
      </c>
      <c r="E27" s="234">
        <f t="shared" ca="1" si="2"/>
        <v>8.2011306042884993</v>
      </c>
      <c r="F27" s="234">
        <f t="shared" si="15"/>
        <v>6.5263157894736841</v>
      </c>
      <c r="G27" s="234">
        <f t="shared" ca="1" si="4"/>
        <v>4.8515009746588689</v>
      </c>
      <c r="H27" s="234">
        <f t="shared" ca="1" si="5"/>
        <v>3.1766861598440546</v>
      </c>
      <c r="I27" s="234">
        <f t="shared" ca="1" si="6"/>
        <v>1.5018713450292394</v>
      </c>
      <c r="J27">
        <f t="shared" ca="1" si="8"/>
        <v>11</v>
      </c>
      <c r="K27" s="234">
        <f t="shared" ca="1" si="9"/>
        <v>4</v>
      </c>
      <c r="L27" s="234">
        <f t="shared" ca="1" si="10"/>
        <v>6.1709999999999994</v>
      </c>
      <c r="M27" s="234">
        <f t="shared" ca="1" si="11"/>
        <v>4.7436296296296288</v>
      </c>
      <c r="N27" s="234">
        <f t="shared" ca="1" si="12"/>
        <v>3.316259259259259</v>
      </c>
      <c r="O27" s="234">
        <f t="shared" ca="1" si="16"/>
        <v>1.8888888888888888</v>
      </c>
      <c r="P27" s="234">
        <f t="shared" ca="1" si="13"/>
        <v>0.46151851851851888</v>
      </c>
      <c r="Q27" s="234">
        <f t="shared" ca="1" si="14"/>
        <v>0</v>
      </c>
      <c r="R27" s="234">
        <v>0</v>
      </c>
    </row>
    <row r="28" spans="1:153" x14ac:dyDescent="0.25">
      <c r="A28" s="239">
        <v>41943</v>
      </c>
      <c r="B28" s="243">
        <v>6</v>
      </c>
      <c r="C28" s="234">
        <f t="shared" ca="1" si="0"/>
        <v>11.55076023391813</v>
      </c>
      <c r="D28" s="234">
        <f t="shared" ca="1" si="1"/>
        <v>9.8759454191033136</v>
      </c>
      <c r="E28" s="234">
        <f t="shared" ca="1" si="2"/>
        <v>8.2011306042884993</v>
      </c>
      <c r="F28" s="234">
        <f t="shared" si="15"/>
        <v>6.5263157894736841</v>
      </c>
      <c r="G28" s="234">
        <f t="shared" ca="1" si="4"/>
        <v>4.8515009746588689</v>
      </c>
      <c r="H28" s="234">
        <f t="shared" ca="1" si="5"/>
        <v>3.1766861598440546</v>
      </c>
      <c r="I28" s="234">
        <f t="shared" ca="1" si="6"/>
        <v>1.5018713450292394</v>
      </c>
      <c r="J28">
        <f t="shared" ca="1" si="8"/>
        <v>6</v>
      </c>
      <c r="K28" s="234">
        <f t="shared" ca="1" si="9"/>
        <v>5</v>
      </c>
      <c r="L28" s="234">
        <f t="shared" ca="1" si="10"/>
        <v>6.1709999999999994</v>
      </c>
      <c r="M28" s="234">
        <f t="shared" ca="1" si="11"/>
        <v>4.7436296296296288</v>
      </c>
      <c r="N28" s="234">
        <f t="shared" ca="1" si="12"/>
        <v>3.316259259259259</v>
      </c>
      <c r="O28" s="234">
        <f t="shared" ca="1" si="16"/>
        <v>1.8888888888888888</v>
      </c>
      <c r="P28" s="234">
        <f t="shared" ca="1" si="13"/>
        <v>0.46151851851851888</v>
      </c>
      <c r="Q28" s="234">
        <f t="shared" ca="1" si="14"/>
        <v>0</v>
      </c>
      <c r="R28" s="234">
        <v>0</v>
      </c>
    </row>
    <row r="29" spans="1:153" x14ac:dyDescent="0.25">
      <c r="A29" s="239">
        <v>41949</v>
      </c>
      <c r="B29" s="243">
        <v>5</v>
      </c>
      <c r="C29" s="234">
        <f t="shared" ca="1" si="0"/>
        <v>11.55076023391813</v>
      </c>
      <c r="D29" s="234">
        <f t="shared" ca="1" si="1"/>
        <v>9.8759454191033136</v>
      </c>
      <c r="E29" s="234">
        <f t="shared" ca="1" si="2"/>
        <v>8.2011306042884993</v>
      </c>
      <c r="F29" s="234">
        <f t="shared" si="15"/>
        <v>6.5263157894736841</v>
      </c>
      <c r="G29" s="234">
        <f t="shared" ca="1" si="4"/>
        <v>4.8515009746588689</v>
      </c>
      <c r="H29" s="234">
        <f t="shared" ca="1" si="5"/>
        <v>3.1766861598440546</v>
      </c>
      <c r="I29" s="234">
        <f t="shared" ca="1" si="6"/>
        <v>1.5018713450292394</v>
      </c>
      <c r="J29">
        <f t="shared" ca="1" si="8"/>
        <v>5</v>
      </c>
      <c r="K29" s="234">
        <f t="shared" ca="1" si="9"/>
        <v>1</v>
      </c>
      <c r="L29" s="234">
        <f t="shared" ca="1" si="10"/>
        <v>6.1709999999999994</v>
      </c>
      <c r="M29" s="234">
        <f t="shared" ca="1" si="11"/>
        <v>4.7436296296296288</v>
      </c>
      <c r="N29" s="234">
        <f t="shared" ca="1" si="12"/>
        <v>3.316259259259259</v>
      </c>
      <c r="O29" s="234">
        <f t="shared" ca="1" si="16"/>
        <v>1.8888888888888888</v>
      </c>
      <c r="P29" s="234">
        <f t="shared" ca="1" si="13"/>
        <v>0.46151851851851888</v>
      </c>
      <c r="Q29" s="234">
        <f t="shared" ca="1" si="14"/>
        <v>0</v>
      </c>
      <c r="R29" s="234">
        <v>0</v>
      </c>
    </row>
    <row r="30" spans="1:153" x14ac:dyDescent="0.25">
      <c r="A30" s="239">
        <v>41963</v>
      </c>
      <c r="B30" s="243">
        <v>6</v>
      </c>
      <c r="C30" s="234">
        <f t="shared" ca="1" si="0"/>
        <v>11.55076023391813</v>
      </c>
      <c r="D30" s="234">
        <f t="shared" ca="1" si="1"/>
        <v>9.8759454191033136</v>
      </c>
      <c r="E30" s="234">
        <f t="shared" ca="1" si="2"/>
        <v>8.2011306042884993</v>
      </c>
      <c r="F30" s="234">
        <f t="shared" si="15"/>
        <v>6.5263157894736841</v>
      </c>
      <c r="G30" s="234">
        <f t="shared" ca="1" si="4"/>
        <v>4.8515009746588689</v>
      </c>
      <c r="H30" s="234">
        <f t="shared" ca="1" si="5"/>
        <v>3.1766861598440546</v>
      </c>
      <c r="I30" s="234">
        <f t="shared" ca="1" si="6"/>
        <v>1.5018713450292394</v>
      </c>
      <c r="J30">
        <f t="shared" ca="1" si="8"/>
        <v>6</v>
      </c>
      <c r="K30" s="234">
        <f t="shared" ca="1" si="9"/>
        <v>1</v>
      </c>
      <c r="L30" s="234">
        <f t="shared" ca="1" si="10"/>
        <v>6.1709999999999994</v>
      </c>
      <c r="M30" s="234">
        <f t="shared" ca="1" si="11"/>
        <v>4.7436296296296288</v>
      </c>
      <c r="N30" s="234">
        <f t="shared" ca="1" si="12"/>
        <v>3.316259259259259</v>
      </c>
      <c r="O30" s="234">
        <f t="shared" ca="1" si="16"/>
        <v>1.8888888888888888</v>
      </c>
      <c r="P30" s="234">
        <f t="shared" ca="1" si="13"/>
        <v>0.46151851851851888</v>
      </c>
      <c r="Q30" s="234">
        <f t="shared" ca="1" si="14"/>
        <v>0</v>
      </c>
      <c r="R30" s="234">
        <v>0</v>
      </c>
    </row>
    <row r="31" spans="1:153" x14ac:dyDescent="0.25">
      <c r="A31" s="262">
        <v>42343</v>
      </c>
      <c r="B31" s="263">
        <v>5</v>
      </c>
      <c r="C31" s="234">
        <f t="shared" ca="1" si="0"/>
        <v>11.55076023391813</v>
      </c>
      <c r="D31" s="234">
        <f t="shared" ca="1" si="1"/>
        <v>9.8759454191033136</v>
      </c>
      <c r="E31" s="234">
        <f t="shared" ca="1" si="2"/>
        <v>8.2011306042884993</v>
      </c>
      <c r="F31" s="234">
        <f t="shared" si="15"/>
        <v>6.5263157894736841</v>
      </c>
      <c r="G31" s="234">
        <f t="shared" ca="1" si="4"/>
        <v>4.8515009746588689</v>
      </c>
      <c r="H31" s="234">
        <f t="shared" ca="1" si="5"/>
        <v>3.1766861598440546</v>
      </c>
      <c r="I31" s="234">
        <f t="shared" ca="1" si="6"/>
        <v>1.5018713450292394</v>
      </c>
      <c r="J31">
        <f t="shared" ca="1" si="8"/>
        <v>5</v>
      </c>
      <c r="K31" s="234">
        <f t="shared" ca="1" si="9"/>
        <v>1</v>
      </c>
      <c r="L31" s="234">
        <f t="shared" ca="1" si="10"/>
        <v>6.1709999999999994</v>
      </c>
      <c r="M31" s="234">
        <f t="shared" ca="1" si="11"/>
        <v>4.7436296296296288</v>
      </c>
      <c r="N31" s="234">
        <f t="shared" ca="1" si="12"/>
        <v>3.316259259259259</v>
      </c>
      <c r="O31" s="234">
        <f t="shared" ca="1" si="16"/>
        <v>1.8888888888888888</v>
      </c>
      <c r="P31" s="234">
        <f t="shared" ca="1" si="13"/>
        <v>0.46151851851851888</v>
      </c>
      <c r="Q31" s="234">
        <f t="shared" ca="1" si="14"/>
        <v>0</v>
      </c>
      <c r="R31" s="234">
        <v>0</v>
      </c>
    </row>
    <row r="32" spans="1:153" x14ac:dyDescent="0.25">
      <c r="A32" s="239">
        <v>41984</v>
      </c>
      <c r="B32" s="243">
        <v>6</v>
      </c>
      <c r="C32" s="234">
        <f t="shared" ca="1" si="0"/>
        <v>11.55076023391813</v>
      </c>
      <c r="D32" s="234">
        <f t="shared" ca="1" si="1"/>
        <v>9.8759454191033136</v>
      </c>
      <c r="E32" s="234">
        <f t="shared" ca="1" si="2"/>
        <v>8.2011306042884993</v>
      </c>
      <c r="F32" s="234">
        <f t="shared" si="15"/>
        <v>6.5263157894736841</v>
      </c>
      <c r="G32" s="234">
        <f t="shared" ca="1" si="4"/>
        <v>4.8515009746588689</v>
      </c>
      <c r="H32" s="234">
        <f t="shared" ca="1" si="5"/>
        <v>3.1766861598440546</v>
      </c>
      <c r="I32" s="234">
        <f t="shared" ca="1" si="6"/>
        <v>1.5018713450292394</v>
      </c>
      <c r="J32">
        <f t="shared" ca="1" si="8"/>
        <v>6</v>
      </c>
      <c r="K32" s="234">
        <f t="shared" ca="1" si="9"/>
        <v>1</v>
      </c>
      <c r="L32" s="234">
        <f t="shared" ca="1" si="10"/>
        <v>6.1709999999999994</v>
      </c>
      <c r="M32" s="234">
        <f t="shared" ca="1" si="11"/>
        <v>4.7436296296296288</v>
      </c>
      <c r="N32" s="234">
        <f t="shared" ca="1" si="12"/>
        <v>3.316259259259259</v>
      </c>
      <c r="O32" s="234">
        <f t="shared" ca="1" si="16"/>
        <v>1.8888888888888888</v>
      </c>
      <c r="P32" s="234">
        <f t="shared" ca="1" si="13"/>
        <v>0.46151851851851888</v>
      </c>
      <c r="Q32" s="234">
        <f t="shared" ca="1" si="14"/>
        <v>0</v>
      </c>
      <c r="R32" s="234">
        <v>0</v>
      </c>
    </row>
    <row r="33" spans="1:153" x14ac:dyDescent="0.25">
      <c r="A33" s="251">
        <v>42019</v>
      </c>
      <c r="B33" s="255">
        <v>6</v>
      </c>
      <c r="C33" s="234">
        <f t="shared" ca="1" si="0"/>
        <v>11.55076023391813</v>
      </c>
      <c r="D33" s="234">
        <f t="shared" ca="1" si="1"/>
        <v>9.8759454191033136</v>
      </c>
      <c r="E33" s="234">
        <f t="shared" ca="1" si="2"/>
        <v>8.2011306042884993</v>
      </c>
      <c r="F33" s="234">
        <f t="shared" si="15"/>
        <v>6.5263157894736841</v>
      </c>
      <c r="G33" s="234">
        <f t="shared" ca="1" si="4"/>
        <v>4.8515009746588689</v>
      </c>
      <c r="H33" s="234">
        <f t="shared" ca="1" si="5"/>
        <v>3.1766861598440546</v>
      </c>
      <c r="I33" s="234">
        <f t="shared" ca="1" si="6"/>
        <v>1.5018713450292394</v>
      </c>
      <c r="J33">
        <f t="shared" ca="1" si="8"/>
        <v>6</v>
      </c>
      <c r="K33" s="234">
        <f t="shared" ca="1" si="9"/>
        <v>0</v>
      </c>
      <c r="L33" s="234">
        <f t="shared" ca="1" si="10"/>
        <v>6.1709999999999994</v>
      </c>
      <c r="M33" s="234">
        <f t="shared" ca="1" si="11"/>
        <v>4.7436296296296288</v>
      </c>
      <c r="N33" s="234">
        <f t="shared" ca="1" si="12"/>
        <v>3.316259259259259</v>
      </c>
      <c r="O33" s="234">
        <f t="shared" ca="1" si="16"/>
        <v>1.8888888888888888</v>
      </c>
      <c r="P33" s="234">
        <f t="shared" ca="1" si="13"/>
        <v>0.46151851851851888</v>
      </c>
      <c r="Q33" s="234">
        <f t="shared" ca="1" si="14"/>
        <v>0</v>
      </c>
      <c r="R33" s="234">
        <v>0</v>
      </c>
    </row>
    <row r="34" spans="1:153" x14ac:dyDescent="0.25">
      <c r="A34" s="239">
        <v>42041</v>
      </c>
      <c r="B34" s="255">
        <v>4</v>
      </c>
      <c r="C34" s="234">
        <f t="shared" ref="C34:C58" ca="1" si="17">F34+2.66*O34</f>
        <v>11.55076023391813</v>
      </c>
      <c r="D34" s="234">
        <f t="shared" ref="D34:D58" ca="1" si="18">F34+(2/3)*2.66*O34</f>
        <v>9.8759454191033136</v>
      </c>
      <c r="E34" s="234">
        <f t="shared" ref="E34:E65" ca="1" si="19">F34+(1/3)*2.66*O34</f>
        <v>8.2011306042884993</v>
      </c>
      <c r="F34" s="234">
        <f t="shared" si="15"/>
        <v>6.5263157894736841</v>
      </c>
      <c r="G34" s="234">
        <f t="shared" ref="G34:G65" ca="1" si="20">F34-(1/3)*2.66*O34</f>
        <v>4.8515009746588689</v>
      </c>
      <c r="H34" s="234">
        <f t="shared" ref="H34:H58" ca="1" si="21">F34-(2/3)*2.66*O34</f>
        <v>3.1766861598440546</v>
      </c>
      <c r="I34" s="234">
        <f t="shared" ref="I34:I58" ca="1" si="22">F34-2.66*O34</f>
        <v>1.5018713450292394</v>
      </c>
      <c r="J34">
        <f t="shared" ca="1" si="8"/>
        <v>4</v>
      </c>
      <c r="K34" s="234">
        <f t="shared" ca="1" si="9"/>
        <v>2</v>
      </c>
      <c r="L34" s="234">
        <f t="shared" ca="1" si="10"/>
        <v>6.1709999999999994</v>
      </c>
      <c r="M34" s="234">
        <f t="shared" ca="1" si="11"/>
        <v>4.7436296296296288</v>
      </c>
      <c r="N34" s="234">
        <f t="shared" ca="1" si="12"/>
        <v>3.316259259259259</v>
      </c>
      <c r="O34" s="234">
        <f t="shared" ca="1" si="16"/>
        <v>1.8888888888888888</v>
      </c>
      <c r="P34" s="234">
        <f t="shared" ca="1" si="13"/>
        <v>0.46151851851851888</v>
      </c>
      <c r="Q34" s="234">
        <f t="shared" ca="1" si="14"/>
        <v>0</v>
      </c>
      <c r="R34" s="234">
        <v>0</v>
      </c>
    </row>
    <row r="35" spans="1:153" x14ac:dyDescent="0.25">
      <c r="A35" s="239">
        <v>42061</v>
      </c>
      <c r="B35" s="255">
        <v>5</v>
      </c>
      <c r="C35" s="234">
        <f t="shared" ca="1" si="17"/>
        <v>11.55076023391813</v>
      </c>
      <c r="D35" s="234">
        <f t="shared" ca="1" si="18"/>
        <v>9.8759454191033136</v>
      </c>
      <c r="E35" s="234">
        <f t="shared" ca="1" si="19"/>
        <v>8.2011306042884993</v>
      </c>
      <c r="F35" s="234">
        <f t="shared" si="15"/>
        <v>6.5263157894736841</v>
      </c>
      <c r="G35" s="234">
        <f t="shared" ca="1" si="20"/>
        <v>4.8515009746588689</v>
      </c>
      <c r="H35" s="234">
        <f t="shared" ca="1" si="21"/>
        <v>3.1766861598440546</v>
      </c>
      <c r="I35" s="234">
        <f t="shared" ca="1" si="22"/>
        <v>1.5018713450292394</v>
      </c>
      <c r="J35">
        <f t="shared" ref="J35:J58" ca="1" si="23">IF(ISBLANK(B35),OFFSET(J35,-1,0,1,1),B35)</f>
        <v>5</v>
      </c>
      <c r="K35" s="234">
        <f t="shared" ref="K35:K58" ca="1" si="24">IF(OR(OFFSET(K35,-1,-9,1,1)="",OFFSET(K35,0,-9,1,1)=""),"",IF(ISERROR(ABS(B35-OFFSET(K35,-1,-1,1,1))),"",ABS(B35-OFFSET(K35,-1,-1,1,1))))</f>
        <v>1</v>
      </c>
      <c r="L35" s="234">
        <f t="shared" ref="L35:L58" ca="1" si="25">3.267*O35</f>
        <v>6.1709999999999994</v>
      </c>
      <c r="M35" s="234">
        <f t="shared" ref="M35:M66" ca="1" si="26">(2/3)*(L35-O35)+O35</f>
        <v>4.7436296296296288</v>
      </c>
      <c r="N35" s="234">
        <f t="shared" ref="N35:N66" ca="1" si="27">(1/3)*(L35-O35)+O35</f>
        <v>3.316259259259259</v>
      </c>
      <c r="O35" s="234">
        <f t="shared" ca="1" si="16"/>
        <v>1.8888888888888888</v>
      </c>
      <c r="P35" s="234">
        <f t="shared" ref="P35:P66" ca="1" si="28">(MAX(O35-(1/3)*(L35-O35),0))</f>
        <v>0.46151851851851888</v>
      </c>
      <c r="Q35" s="234">
        <f t="shared" ref="Q35:Q58" ca="1" si="29">MAX(O35-(2/3)*(L35-O35),0)</f>
        <v>0</v>
      </c>
      <c r="R35" s="234">
        <v>0</v>
      </c>
    </row>
    <row r="36" spans="1:153" x14ac:dyDescent="0.25">
      <c r="A36" s="239">
        <v>42068</v>
      </c>
      <c r="B36" s="255">
        <v>10</v>
      </c>
      <c r="C36" s="234">
        <f t="shared" ca="1" si="17"/>
        <v>11.55076023391813</v>
      </c>
      <c r="D36" s="234">
        <f t="shared" ca="1" si="18"/>
        <v>9.8759454191033136</v>
      </c>
      <c r="E36" s="234">
        <f t="shared" ca="1" si="19"/>
        <v>8.2011306042884993</v>
      </c>
      <c r="F36" s="234">
        <f t="shared" si="15"/>
        <v>6.5263157894736841</v>
      </c>
      <c r="G36" s="234">
        <f t="shared" ca="1" si="20"/>
        <v>4.8515009746588689</v>
      </c>
      <c r="H36" s="234">
        <f t="shared" ca="1" si="21"/>
        <v>3.1766861598440546</v>
      </c>
      <c r="I36" s="234">
        <f t="shared" ca="1" si="22"/>
        <v>1.5018713450292394</v>
      </c>
      <c r="J36">
        <f t="shared" ca="1" si="23"/>
        <v>10</v>
      </c>
      <c r="K36" s="234">
        <f t="shared" ca="1" si="24"/>
        <v>5</v>
      </c>
      <c r="L36" s="234">
        <f t="shared" ca="1" si="25"/>
        <v>6.1709999999999994</v>
      </c>
      <c r="M36" s="234">
        <f t="shared" ca="1" si="26"/>
        <v>4.7436296296296288</v>
      </c>
      <c r="N36" s="234">
        <f t="shared" ca="1" si="27"/>
        <v>3.316259259259259</v>
      </c>
      <c r="O36" s="234">
        <f t="shared" ca="1" si="16"/>
        <v>1.8888888888888888</v>
      </c>
      <c r="P36" s="234">
        <f t="shared" ca="1" si="28"/>
        <v>0.46151851851851888</v>
      </c>
      <c r="Q36" s="234">
        <f t="shared" ca="1" si="29"/>
        <v>0</v>
      </c>
      <c r="R36" s="234">
        <v>0</v>
      </c>
    </row>
    <row r="37" spans="1:153" x14ac:dyDescent="0.25">
      <c r="A37" s="251">
        <v>42082</v>
      </c>
      <c r="B37" s="255">
        <v>9</v>
      </c>
      <c r="C37" s="234">
        <f t="shared" ca="1" si="17"/>
        <v>11.55076023391813</v>
      </c>
      <c r="D37" s="234">
        <f t="shared" ca="1" si="18"/>
        <v>9.8759454191033136</v>
      </c>
      <c r="E37" s="234">
        <f t="shared" ca="1" si="19"/>
        <v>8.2011306042884993</v>
      </c>
      <c r="F37" s="234">
        <f t="shared" si="15"/>
        <v>6.5263157894736841</v>
      </c>
      <c r="G37" s="234">
        <f t="shared" ca="1" si="20"/>
        <v>4.8515009746588689</v>
      </c>
      <c r="H37" s="234">
        <f t="shared" ca="1" si="21"/>
        <v>3.1766861598440546</v>
      </c>
      <c r="I37" s="234">
        <f t="shared" ca="1" si="22"/>
        <v>1.5018713450292394</v>
      </c>
      <c r="J37">
        <f t="shared" ca="1" si="23"/>
        <v>9</v>
      </c>
      <c r="K37" s="234">
        <f t="shared" ca="1" si="24"/>
        <v>1</v>
      </c>
      <c r="L37" s="234">
        <f t="shared" ca="1" si="25"/>
        <v>6.1709999999999994</v>
      </c>
      <c r="M37" s="234">
        <f t="shared" ca="1" si="26"/>
        <v>4.7436296296296288</v>
      </c>
      <c r="N37" s="234">
        <f t="shared" ca="1" si="27"/>
        <v>3.316259259259259</v>
      </c>
      <c r="O37" s="234">
        <f t="shared" ca="1" si="16"/>
        <v>1.8888888888888888</v>
      </c>
      <c r="P37" s="234">
        <f t="shared" ca="1" si="28"/>
        <v>0.46151851851851888</v>
      </c>
      <c r="Q37" s="234">
        <f t="shared" ca="1" si="29"/>
        <v>0</v>
      </c>
      <c r="R37" s="234">
        <v>0</v>
      </c>
    </row>
    <row r="38" spans="1:153" x14ac:dyDescent="0.25">
      <c r="A38" s="239">
        <v>42110</v>
      </c>
      <c r="B38" s="255">
        <v>6</v>
      </c>
      <c r="C38" s="234">
        <f t="shared" ca="1" si="17"/>
        <v>11.55076023391813</v>
      </c>
      <c r="D38" s="234">
        <f t="shared" ca="1" si="18"/>
        <v>9.8759454191033136</v>
      </c>
      <c r="E38" s="234">
        <f t="shared" ca="1" si="19"/>
        <v>8.2011306042884993</v>
      </c>
      <c r="F38" s="234">
        <f t="shared" si="15"/>
        <v>6.5263157894736841</v>
      </c>
      <c r="G38" s="234">
        <f t="shared" ca="1" si="20"/>
        <v>4.8515009746588689</v>
      </c>
      <c r="H38" s="234">
        <f t="shared" ca="1" si="21"/>
        <v>3.1766861598440546</v>
      </c>
      <c r="I38" s="234">
        <f t="shared" ca="1" si="22"/>
        <v>1.5018713450292394</v>
      </c>
      <c r="J38">
        <f t="shared" ca="1" si="23"/>
        <v>6</v>
      </c>
      <c r="K38" s="234">
        <f t="shared" ca="1" si="24"/>
        <v>3</v>
      </c>
      <c r="L38" s="234">
        <f t="shared" ca="1" si="25"/>
        <v>6.1709999999999994</v>
      </c>
      <c r="M38" s="234">
        <f t="shared" ca="1" si="26"/>
        <v>4.7436296296296288</v>
      </c>
      <c r="N38" s="234">
        <f t="shared" ca="1" si="27"/>
        <v>3.316259259259259</v>
      </c>
      <c r="O38" s="234">
        <f t="shared" ca="1" si="16"/>
        <v>1.8888888888888888</v>
      </c>
      <c r="P38" s="234">
        <f t="shared" ca="1" si="28"/>
        <v>0.46151851851851888</v>
      </c>
      <c r="Q38" s="234">
        <f t="shared" ca="1" si="29"/>
        <v>0</v>
      </c>
      <c r="R38" s="234">
        <v>0</v>
      </c>
    </row>
    <row r="39" spans="1:153" x14ac:dyDescent="0.25">
      <c r="B39" s="255"/>
      <c r="C39" s="234">
        <f t="shared" ca="1" si="17"/>
        <v>11.55076023391813</v>
      </c>
      <c r="D39" s="234">
        <f t="shared" ca="1" si="18"/>
        <v>9.8759454191033136</v>
      </c>
      <c r="E39" s="234">
        <f t="shared" ca="1" si="19"/>
        <v>8.2011306042884993</v>
      </c>
      <c r="F39" s="234">
        <f t="shared" si="15"/>
        <v>6.5263157894736841</v>
      </c>
      <c r="G39" s="234">
        <f t="shared" ca="1" si="20"/>
        <v>4.8515009746588689</v>
      </c>
      <c r="H39" s="234">
        <f t="shared" ca="1" si="21"/>
        <v>3.1766861598440546</v>
      </c>
      <c r="I39" s="234">
        <f t="shared" ca="1" si="22"/>
        <v>1.5018713450292394</v>
      </c>
      <c r="J39">
        <f t="shared" ca="1" si="23"/>
        <v>6</v>
      </c>
      <c r="L39">
        <f t="shared" ca="1" si="25"/>
        <v>6.1709999999999994</v>
      </c>
      <c r="M39">
        <f t="shared" ca="1" si="26"/>
        <v>4.7436296296296288</v>
      </c>
      <c r="N39">
        <f t="shared" ca="1" si="27"/>
        <v>3.316259259259259</v>
      </c>
      <c r="O39" s="234">
        <f t="shared" ca="1" si="16"/>
        <v>1.8888888888888888</v>
      </c>
      <c r="P39">
        <f t="shared" ca="1" si="28"/>
        <v>0.46151851851851888</v>
      </c>
      <c r="Q39">
        <f t="shared" ca="1" si="29"/>
        <v>0</v>
      </c>
      <c r="R39">
        <v>0</v>
      </c>
    </row>
    <row r="40" spans="1:153" x14ac:dyDescent="0.25">
      <c r="B40" s="255"/>
      <c r="C40" s="234">
        <f t="shared" ca="1" si="17"/>
        <v>11.55076023391813</v>
      </c>
      <c r="D40" s="234">
        <f t="shared" ca="1" si="18"/>
        <v>9.8759454191033136</v>
      </c>
      <c r="E40" s="234">
        <f t="shared" ca="1" si="19"/>
        <v>8.2011306042884993</v>
      </c>
      <c r="F40" s="234">
        <f t="shared" si="15"/>
        <v>6.5263157894736841</v>
      </c>
      <c r="G40" s="234">
        <f t="shared" ca="1" si="20"/>
        <v>4.8515009746588689</v>
      </c>
      <c r="H40" s="234">
        <f t="shared" ca="1" si="21"/>
        <v>3.1766861598440546</v>
      </c>
      <c r="I40" s="234">
        <f t="shared" ca="1" si="22"/>
        <v>1.5018713450292394</v>
      </c>
      <c r="J40">
        <f t="shared" ca="1" si="23"/>
        <v>6</v>
      </c>
      <c r="K40" t="str">
        <f t="shared" ca="1" si="24"/>
        <v/>
      </c>
      <c r="L40">
        <f t="shared" ca="1" si="25"/>
        <v>6.1709999999999994</v>
      </c>
      <c r="M40">
        <f t="shared" ca="1" si="26"/>
        <v>4.7436296296296288</v>
      </c>
      <c r="N40">
        <f t="shared" ca="1" si="27"/>
        <v>3.316259259259259</v>
      </c>
      <c r="O40" s="234">
        <f t="shared" ca="1" si="16"/>
        <v>1.8888888888888888</v>
      </c>
      <c r="P40">
        <f t="shared" ca="1" si="28"/>
        <v>0.46151851851851888</v>
      </c>
      <c r="Q40">
        <f t="shared" ca="1" si="29"/>
        <v>0</v>
      </c>
      <c r="R40">
        <v>0</v>
      </c>
    </row>
    <row r="41" spans="1:153" x14ac:dyDescent="0.25">
      <c r="B41" s="255"/>
      <c r="C41" s="234">
        <f t="shared" ca="1" si="17"/>
        <v>11.55076023391813</v>
      </c>
      <c r="D41" s="234">
        <f t="shared" ca="1" si="18"/>
        <v>9.8759454191033136</v>
      </c>
      <c r="E41" s="234">
        <f t="shared" ca="1" si="19"/>
        <v>8.2011306042884993</v>
      </c>
      <c r="F41" s="234">
        <f t="shared" si="15"/>
        <v>6.5263157894736841</v>
      </c>
      <c r="G41" s="234">
        <f t="shared" ca="1" si="20"/>
        <v>4.8515009746588689</v>
      </c>
      <c r="H41" s="234">
        <f t="shared" ca="1" si="21"/>
        <v>3.1766861598440546</v>
      </c>
      <c r="I41" s="234">
        <f t="shared" ca="1" si="22"/>
        <v>1.5018713450292394</v>
      </c>
      <c r="J41">
        <f t="shared" ca="1" si="23"/>
        <v>6</v>
      </c>
      <c r="K41" t="str">
        <f t="shared" ca="1" si="24"/>
        <v/>
      </c>
      <c r="L41">
        <f t="shared" ca="1" si="25"/>
        <v>6.1709999999999994</v>
      </c>
      <c r="M41">
        <f t="shared" ca="1" si="26"/>
        <v>4.7436296296296288</v>
      </c>
      <c r="N41">
        <f t="shared" ca="1" si="27"/>
        <v>3.316259259259259</v>
      </c>
      <c r="O41" s="234">
        <f t="shared" ca="1" si="16"/>
        <v>1.8888888888888888</v>
      </c>
      <c r="P41">
        <f t="shared" ca="1" si="28"/>
        <v>0.46151851851851888</v>
      </c>
      <c r="Q41">
        <f t="shared" ca="1" si="29"/>
        <v>0</v>
      </c>
      <c r="R41">
        <v>0</v>
      </c>
    </row>
    <row r="42" spans="1:153" x14ac:dyDescent="0.25">
      <c r="B42" s="255"/>
      <c r="C42" s="234">
        <f t="shared" ca="1" si="17"/>
        <v>11.55076023391813</v>
      </c>
      <c r="D42" s="234">
        <f t="shared" ca="1" si="18"/>
        <v>9.8759454191033136</v>
      </c>
      <c r="E42" s="234">
        <f t="shared" ca="1" si="19"/>
        <v>8.2011306042884993</v>
      </c>
      <c r="F42" s="234">
        <f t="shared" si="15"/>
        <v>6.5263157894736841</v>
      </c>
      <c r="G42" s="234">
        <f t="shared" ca="1" si="20"/>
        <v>4.8515009746588689</v>
      </c>
      <c r="H42" s="234">
        <f t="shared" ca="1" si="21"/>
        <v>3.1766861598440546</v>
      </c>
      <c r="I42" s="234">
        <f t="shared" ca="1" si="22"/>
        <v>1.5018713450292394</v>
      </c>
      <c r="J42">
        <f t="shared" ca="1" si="23"/>
        <v>6</v>
      </c>
      <c r="K42" t="str">
        <f t="shared" ca="1" si="24"/>
        <v/>
      </c>
      <c r="L42">
        <f t="shared" ca="1" si="25"/>
        <v>6.1709999999999994</v>
      </c>
      <c r="M42">
        <f t="shared" ca="1" si="26"/>
        <v>4.7436296296296288</v>
      </c>
      <c r="N42">
        <f t="shared" ca="1" si="27"/>
        <v>3.316259259259259</v>
      </c>
      <c r="O42" s="234">
        <f t="shared" ca="1" si="16"/>
        <v>1.8888888888888888</v>
      </c>
      <c r="P42">
        <f t="shared" ca="1" si="28"/>
        <v>0.46151851851851888</v>
      </c>
      <c r="Q42">
        <f t="shared" ca="1" si="29"/>
        <v>0</v>
      </c>
      <c r="R42">
        <v>0</v>
      </c>
    </row>
    <row r="43" spans="1:153" x14ac:dyDescent="0.25">
      <c r="B43" s="255"/>
      <c r="C43" s="234">
        <f t="shared" ca="1" si="17"/>
        <v>11.55076023391813</v>
      </c>
      <c r="D43" s="234">
        <f t="shared" ca="1" si="18"/>
        <v>9.8759454191033136</v>
      </c>
      <c r="E43" s="234">
        <f t="shared" ca="1" si="19"/>
        <v>8.2011306042884993</v>
      </c>
      <c r="F43" s="234">
        <f t="shared" si="15"/>
        <v>6.5263157894736841</v>
      </c>
      <c r="G43" s="234">
        <f t="shared" ca="1" si="20"/>
        <v>4.8515009746588689</v>
      </c>
      <c r="H43" s="234">
        <f t="shared" ca="1" si="21"/>
        <v>3.1766861598440546</v>
      </c>
      <c r="I43" s="234">
        <f t="shared" ca="1" si="22"/>
        <v>1.5018713450292394</v>
      </c>
      <c r="J43">
        <f t="shared" ca="1" si="23"/>
        <v>6</v>
      </c>
      <c r="K43" t="str">
        <f t="shared" ca="1" si="24"/>
        <v/>
      </c>
      <c r="L43">
        <f t="shared" ca="1" si="25"/>
        <v>6.1709999999999994</v>
      </c>
      <c r="M43">
        <f t="shared" ca="1" si="26"/>
        <v>4.7436296296296288</v>
      </c>
      <c r="N43">
        <f t="shared" ca="1" si="27"/>
        <v>3.316259259259259</v>
      </c>
      <c r="O43" s="234">
        <f t="shared" ca="1" si="16"/>
        <v>1.8888888888888888</v>
      </c>
      <c r="P43">
        <f t="shared" ca="1" si="28"/>
        <v>0.46151851851851888</v>
      </c>
      <c r="Q43">
        <f t="shared" ca="1" si="29"/>
        <v>0</v>
      </c>
      <c r="R43">
        <v>0</v>
      </c>
    </row>
    <row r="44" spans="1:153" x14ac:dyDescent="0.25">
      <c r="B44" s="255"/>
      <c r="C44" s="234">
        <f t="shared" ca="1" si="17"/>
        <v>11.55076023391813</v>
      </c>
      <c r="D44" s="234">
        <f t="shared" ca="1" si="18"/>
        <v>9.8759454191033136</v>
      </c>
      <c r="E44" s="234">
        <f t="shared" ca="1" si="19"/>
        <v>8.2011306042884993</v>
      </c>
      <c r="F44" s="234">
        <f t="shared" si="15"/>
        <v>6.5263157894736841</v>
      </c>
      <c r="G44" s="234">
        <f t="shared" ca="1" si="20"/>
        <v>4.8515009746588689</v>
      </c>
      <c r="H44" s="234">
        <f t="shared" ca="1" si="21"/>
        <v>3.1766861598440546</v>
      </c>
      <c r="I44" s="234">
        <f t="shared" ca="1" si="22"/>
        <v>1.5018713450292394</v>
      </c>
      <c r="J44">
        <f t="shared" ca="1" si="23"/>
        <v>6</v>
      </c>
      <c r="K44" t="str">
        <f t="shared" ca="1" si="24"/>
        <v/>
      </c>
      <c r="L44">
        <f t="shared" ca="1" si="25"/>
        <v>6.1709999999999994</v>
      </c>
      <c r="M44">
        <f t="shared" ca="1" si="26"/>
        <v>4.7436296296296288</v>
      </c>
      <c r="N44">
        <f t="shared" ca="1" si="27"/>
        <v>3.316259259259259</v>
      </c>
      <c r="O44" s="234">
        <f t="shared" ca="1" si="16"/>
        <v>1.8888888888888888</v>
      </c>
      <c r="P44">
        <f t="shared" ca="1" si="28"/>
        <v>0.46151851851851888</v>
      </c>
      <c r="Q44">
        <f t="shared" ca="1" si="29"/>
        <v>0</v>
      </c>
      <c r="R44">
        <v>0</v>
      </c>
    </row>
    <row r="45" spans="1:153" x14ac:dyDescent="0.25">
      <c r="B45" s="255"/>
      <c r="C45" s="234">
        <f t="shared" ca="1" si="17"/>
        <v>11.55076023391813</v>
      </c>
      <c r="D45" s="234">
        <f t="shared" ca="1" si="18"/>
        <v>9.8759454191033136</v>
      </c>
      <c r="E45" s="234">
        <f t="shared" ca="1" si="19"/>
        <v>8.2011306042884993</v>
      </c>
      <c r="F45" s="234">
        <f t="shared" si="15"/>
        <v>6.5263157894736841</v>
      </c>
      <c r="G45" s="234">
        <f t="shared" ca="1" si="20"/>
        <v>4.8515009746588689</v>
      </c>
      <c r="H45" s="234">
        <f t="shared" ca="1" si="21"/>
        <v>3.1766861598440546</v>
      </c>
      <c r="I45" s="234">
        <f t="shared" ca="1" si="22"/>
        <v>1.5018713450292394</v>
      </c>
      <c r="J45">
        <f t="shared" ca="1" si="23"/>
        <v>6</v>
      </c>
      <c r="K45" t="str">
        <f t="shared" ca="1" si="24"/>
        <v/>
      </c>
      <c r="L45">
        <f t="shared" ca="1" si="25"/>
        <v>6.1709999999999994</v>
      </c>
      <c r="M45">
        <f t="shared" ca="1" si="26"/>
        <v>4.7436296296296288</v>
      </c>
      <c r="N45">
        <f t="shared" ca="1" si="27"/>
        <v>3.316259259259259</v>
      </c>
      <c r="O45" s="234">
        <f t="shared" ca="1" si="16"/>
        <v>1.8888888888888888</v>
      </c>
      <c r="P45">
        <f t="shared" ca="1" si="28"/>
        <v>0.46151851851851888</v>
      </c>
      <c r="Q45">
        <f t="shared" ca="1" si="29"/>
        <v>0</v>
      </c>
      <c r="R45">
        <v>0</v>
      </c>
    </row>
    <row r="46" spans="1:153" x14ac:dyDescent="0.25">
      <c r="B46" s="255"/>
      <c r="C46" s="234">
        <f t="shared" ca="1" si="17"/>
        <v>11.55076023391813</v>
      </c>
      <c r="D46" s="234">
        <f t="shared" ca="1" si="18"/>
        <v>9.8759454191033136</v>
      </c>
      <c r="E46" s="234">
        <f t="shared" ca="1" si="19"/>
        <v>8.2011306042884993</v>
      </c>
      <c r="F46" s="234">
        <f t="shared" si="15"/>
        <v>6.5263157894736841</v>
      </c>
      <c r="G46" s="234">
        <f t="shared" ca="1" si="20"/>
        <v>4.8515009746588689</v>
      </c>
      <c r="H46" s="234">
        <f t="shared" ca="1" si="21"/>
        <v>3.1766861598440546</v>
      </c>
      <c r="I46" s="234">
        <f t="shared" ca="1" si="22"/>
        <v>1.5018713450292394</v>
      </c>
      <c r="J46">
        <f t="shared" ca="1" si="23"/>
        <v>6</v>
      </c>
      <c r="K46" t="str">
        <f t="shared" ca="1" si="24"/>
        <v/>
      </c>
      <c r="L46">
        <f t="shared" ca="1" si="25"/>
        <v>6.1709999999999994</v>
      </c>
      <c r="M46">
        <f t="shared" ca="1" si="26"/>
        <v>4.7436296296296288</v>
      </c>
      <c r="N46">
        <f t="shared" ca="1" si="27"/>
        <v>3.316259259259259</v>
      </c>
      <c r="O46" s="234">
        <f t="shared" ca="1" si="16"/>
        <v>1.8888888888888888</v>
      </c>
      <c r="P46">
        <f t="shared" ca="1" si="28"/>
        <v>0.46151851851851888</v>
      </c>
      <c r="Q46">
        <f t="shared" ca="1" si="29"/>
        <v>0</v>
      </c>
      <c r="R46">
        <v>0</v>
      </c>
    </row>
    <row r="47" spans="1:153" x14ac:dyDescent="0.25">
      <c r="B47" s="255"/>
      <c r="C47" s="234">
        <f t="shared" ca="1" si="17"/>
        <v>11.55076023391813</v>
      </c>
      <c r="D47" s="234">
        <f t="shared" ca="1" si="18"/>
        <v>9.8759454191033136</v>
      </c>
      <c r="E47" s="234">
        <f t="shared" ca="1" si="19"/>
        <v>8.2011306042884993</v>
      </c>
      <c r="F47" s="234">
        <f t="shared" si="15"/>
        <v>6.5263157894736841</v>
      </c>
      <c r="G47" s="234">
        <f t="shared" ca="1" si="20"/>
        <v>4.8515009746588689</v>
      </c>
      <c r="H47" s="234">
        <f t="shared" ca="1" si="21"/>
        <v>3.1766861598440546</v>
      </c>
      <c r="I47" s="234">
        <f t="shared" ca="1" si="22"/>
        <v>1.5018713450292394</v>
      </c>
      <c r="J47">
        <f t="shared" ca="1" si="23"/>
        <v>6</v>
      </c>
      <c r="K47" t="str">
        <f t="shared" ca="1" si="24"/>
        <v/>
      </c>
      <c r="L47">
        <f t="shared" ca="1" si="25"/>
        <v>6.1709999999999994</v>
      </c>
      <c r="M47">
        <f t="shared" ca="1" si="26"/>
        <v>4.7436296296296288</v>
      </c>
      <c r="N47">
        <f t="shared" ca="1" si="27"/>
        <v>3.316259259259259</v>
      </c>
      <c r="O47" s="234">
        <f t="shared" ca="1" si="16"/>
        <v>1.8888888888888888</v>
      </c>
      <c r="P47">
        <f t="shared" ca="1" si="28"/>
        <v>0.46151851851851888</v>
      </c>
      <c r="Q47">
        <f t="shared" ca="1" si="29"/>
        <v>0</v>
      </c>
      <c r="R47">
        <v>0</v>
      </c>
    </row>
    <row r="48" spans="1:153" x14ac:dyDescent="0.25">
      <c r="B48" s="255"/>
      <c r="C48" s="234">
        <f t="shared" ca="1" si="17"/>
        <v>11.55076023391813</v>
      </c>
      <c r="D48" s="234">
        <f t="shared" ca="1" si="18"/>
        <v>9.8759454191033136</v>
      </c>
      <c r="E48" s="234">
        <f t="shared" ca="1" si="19"/>
        <v>8.2011306042884993</v>
      </c>
      <c r="F48" s="234">
        <f t="shared" si="15"/>
        <v>6.5263157894736841</v>
      </c>
      <c r="G48" s="234">
        <f t="shared" ca="1" si="20"/>
        <v>4.8515009746588689</v>
      </c>
      <c r="H48" s="234">
        <f t="shared" ca="1" si="21"/>
        <v>3.1766861598440546</v>
      </c>
      <c r="I48" s="234">
        <f t="shared" ca="1" si="22"/>
        <v>1.5018713450292394</v>
      </c>
      <c r="J48">
        <f t="shared" ca="1" si="23"/>
        <v>6</v>
      </c>
      <c r="K48" t="str">
        <f t="shared" ca="1" si="24"/>
        <v/>
      </c>
      <c r="L48">
        <f t="shared" ca="1" si="25"/>
        <v>6.1709999999999994</v>
      </c>
      <c r="M48">
        <f t="shared" ca="1" si="26"/>
        <v>4.7436296296296288</v>
      </c>
      <c r="N48">
        <f t="shared" ca="1" si="27"/>
        <v>3.316259259259259</v>
      </c>
      <c r="O48" s="234">
        <f t="shared" ca="1" si="16"/>
        <v>1.8888888888888888</v>
      </c>
      <c r="P48">
        <f t="shared" ca="1" si="28"/>
        <v>0.46151851851851888</v>
      </c>
      <c r="Q48">
        <f t="shared" ca="1" si="29"/>
        <v>0</v>
      </c>
      <c r="R48">
        <v>0</v>
      </c>
    </row>
    <row r="49" spans="1:153" x14ac:dyDescent="0.25">
      <c r="B49" s="255"/>
      <c r="C49" s="234">
        <f t="shared" ca="1" si="17"/>
        <v>11.55076023391813</v>
      </c>
      <c r="D49" s="234">
        <f t="shared" ca="1" si="18"/>
        <v>9.8759454191033136</v>
      </c>
      <c r="E49" s="234">
        <f t="shared" ca="1" si="19"/>
        <v>8.2011306042884993</v>
      </c>
      <c r="F49" s="234">
        <f t="shared" si="15"/>
        <v>6.5263157894736841</v>
      </c>
      <c r="G49" s="234">
        <f t="shared" ca="1" si="20"/>
        <v>4.8515009746588689</v>
      </c>
      <c r="H49" s="234">
        <f t="shared" ca="1" si="21"/>
        <v>3.1766861598440546</v>
      </c>
      <c r="I49" s="234">
        <f t="shared" ca="1" si="22"/>
        <v>1.5018713450292394</v>
      </c>
      <c r="J49">
        <f t="shared" ca="1" si="23"/>
        <v>6</v>
      </c>
      <c r="K49" t="str">
        <f t="shared" ca="1" si="24"/>
        <v/>
      </c>
      <c r="L49">
        <f t="shared" ca="1" si="25"/>
        <v>6.1709999999999994</v>
      </c>
      <c r="M49">
        <f t="shared" ca="1" si="26"/>
        <v>4.7436296296296288</v>
      </c>
      <c r="N49">
        <f t="shared" ca="1" si="27"/>
        <v>3.316259259259259</v>
      </c>
      <c r="O49" s="234">
        <f t="shared" ca="1" si="16"/>
        <v>1.8888888888888888</v>
      </c>
      <c r="P49">
        <f t="shared" ca="1" si="28"/>
        <v>0.46151851851851888</v>
      </c>
      <c r="Q49">
        <f t="shared" ca="1" si="29"/>
        <v>0</v>
      </c>
      <c r="R49">
        <v>0</v>
      </c>
    </row>
    <row r="50" spans="1:153" x14ac:dyDescent="0.25">
      <c r="A50" s="253"/>
      <c r="B50" s="255"/>
      <c r="C50" s="234">
        <f t="shared" ca="1" si="17"/>
        <v>11.55076023391813</v>
      </c>
      <c r="D50" s="234">
        <f t="shared" ca="1" si="18"/>
        <v>9.8759454191033136</v>
      </c>
      <c r="E50" s="234">
        <f t="shared" ca="1" si="19"/>
        <v>8.2011306042884993</v>
      </c>
      <c r="F50" s="234">
        <f t="shared" si="15"/>
        <v>6.5263157894736841</v>
      </c>
      <c r="G50" s="234">
        <f t="shared" ca="1" si="20"/>
        <v>4.8515009746588689</v>
      </c>
      <c r="H50" s="234">
        <f t="shared" ca="1" si="21"/>
        <v>3.1766861598440546</v>
      </c>
      <c r="I50" s="234">
        <f t="shared" ca="1" si="22"/>
        <v>1.5018713450292394</v>
      </c>
      <c r="J50">
        <f t="shared" ca="1" si="23"/>
        <v>6</v>
      </c>
      <c r="K50" t="str">
        <f t="shared" ca="1" si="24"/>
        <v/>
      </c>
      <c r="L50">
        <f t="shared" ca="1" si="25"/>
        <v>6.1709999999999994</v>
      </c>
      <c r="M50">
        <f t="shared" ca="1" si="26"/>
        <v>4.7436296296296288</v>
      </c>
      <c r="N50">
        <f t="shared" ca="1" si="27"/>
        <v>3.316259259259259</v>
      </c>
      <c r="O50" s="234">
        <f t="shared" ca="1" si="16"/>
        <v>1.8888888888888888</v>
      </c>
      <c r="P50">
        <f t="shared" ca="1" si="28"/>
        <v>0.46151851851851888</v>
      </c>
      <c r="Q50">
        <f t="shared" ca="1" si="29"/>
        <v>0</v>
      </c>
      <c r="R50">
        <v>0</v>
      </c>
    </row>
    <row r="51" spans="1:153" x14ac:dyDescent="0.25">
      <c r="A51" s="253"/>
      <c r="B51" s="255"/>
      <c r="C51" s="234">
        <f t="shared" ca="1" si="17"/>
        <v>11.55076023391813</v>
      </c>
      <c r="D51" s="234">
        <f t="shared" ca="1" si="18"/>
        <v>9.8759454191033136</v>
      </c>
      <c r="E51" s="234">
        <f t="shared" ca="1" si="19"/>
        <v>8.2011306042884993</v>
      </c>
      <c r="F51" s="234">
        <f t="shared" si="15"/>
        <v>6.5263157894736841</v>
      </c>
      <c r="G51" s="234">
        <f t="shared" ca="1" si="20"/>
        <v>4.8515009746588689</v>
      </c>
      <c r="H51" s="234">
        <f t="shared" ca="1" si="21"/>
        <v>3.1766861598440546</v>
      </c>
      <c r="I51" s="234">
        <f t="shared" ca="1" si="22"/>
        <v>1.5018713450292394</v>
      </c>
      <c r="J51">
        <f t="shared" ca="1" si="23"/>
        <v>6</v>
      </c>
      <c r="K51" t="str">
        <f t="shared" ca="1" si="24"/>
        <v/>
      </c>
      <c r="L51">
        <f t="shared" ca="1" si="25"/>
        <v>6.1709999999999994</v>
      </c>
      <c r="M51">
        <f t="shared" ca="1" si="26"/>
        <v>4.7436296296296288</v>
      </c>
      <c r="N51">
        <f t="shared" ca="1" si="27"/>
        <v>3.316259259259259</v>
      </c>
      <c r="O51" s="234">
        <f t="shared" ca="1" si="16"/>
        <v>1.8888888888888888</v>
      </c>
      <c r="P51">
        <f t="shared" ca="1" si="28"/>
        <v>0.46151851851851888</v>
      </c>
      <c r="Q51">
        <f t="shared" ca="1" si="29"/>
        <v>0</v>
      </c>
      <c r="R51">
        <v>0</v>
      </c>
    </row>
    <row r="52" spans="1:153" x14ac:dyDescent="0.25">
      <c r="A52" s="253"/>
      <c r="B52" s="255"/>
      <c r="C52" s="234">
        <f t="shared" ca="1" si="17"/>
        <v>11.55076023391813</v>
      </c>
      <c r="D52" s="234">
        <f t="shared" ca="1" si="18"/>
        <v>9.8759454191033136</v>
      </c>
      <c r="E52" s="234">
        <f t="shared" ca="1" si="19"/>
        <v>8.2011306042884993</v>
      </c>
      <c r="F52" s="234">
        <f t="shared" si="15"/>
        <v>6.5263157894736841</v>
      </c>
      <c r="G52" s="234">
        <f t="shared" ca="1" si="20"/>
        <v>4.8515009746588689</v>
      </c>
      <c r="H52" s="234">
        <f t="shared" ca="1" si="21"/>
        <v>3.1766861598440546</v>
      </c>
      <c r="I52" s="234">
        <f t="shared" ca="1" si="22"/>
        <v>1.5018713450292394</v>
      </c>
      <c r="J52">
        <f t="shared" ca="1" si="23"/>
        <v>6</v>
      </c>
      <c r="K52" t="str">
        <f t="shared" ca="1" si="24"/>
        <v/>
      </c>
      <c r="L52">
        <f t="shared" ca="1" si="25"/>
        <v>6.1709999999999994</v>
      </c>
      <c r="M52">
        <f t="shared" ca="1" si="26"/>
        <v>4.7436296296296288</v>
      </c>
      <c r="N52">
        <f t="shared" ca="1" si="27"/>
        <v>3.316259259259259</v>
      </c>
      <c r="O52" s="234">
        <f t="shared" ca="1" si="16"/>
        <v>1.8888888888888888</v>
      </c>
      <c r="P52">
        <f t="shared" ca="1" si="28"/>
        <v>0.46151851851851888</v>
      </c>
      <c r="Q52">
        <f t="shared" ca="1" si="29"/>
        <v>0</v>
      </c>
      <c r="R52">
        <v>0</v>
      </c>
    </row>
    <row r="53" spans="1:153" x14ac:dyDescent="0.25">
      <c r="A53" s="253"/>
      <c r="B53" s="255"/>
      <c r="C53" s="234">
        <f t="shared" ca="1" si="17"/>
        <v>11.55076023391813</v>
      </c>
      <c r="D53" s="234">
        <f t="shared" ca="1" si="18"/>
        <v>9.8759454191033136</v>
      </c>
      <c r="E53" s="234">
        <f t="shared" ca="1" si="19"/>
        <v>8.2011306042884993</v>
      </c>
      <c r="F53" s="234">
        <f t="shared" si="15"/>
        <v>6.5263157894736841</v>
      </c>
      <c r="G53" s="234">
        <f t="shared" ca="1" si="20"/>
        <v>4.8515009746588689</v>
      </c>
      <c r="H53" s="234">
        <f t="shared" ca="1" si="21"/>
        <v>3.1766861598440546</v>
      </c>
      <c r="I53" s="234">
        <f t="shared" ca="1" si="22"/>
        <v>1.5018713450292394</v>
      </c>
      <c r="J53">
        <f t="shared" ca="1" si="23"/>
        <v>6</v>
      </c>
      <c r="K53" t="str">
        <f t="shared" ca="1" si="24"/>
        <v/>
      </c>
      <c r="L53">
        <f t="shared" ca="1" si="25"/>
        <v>6.1709999999999994</v>
      </c>
      <c r="M53">
        <f t="shared" ca="1" si="26"/>
        <v>4.7436296296296288</v>
      </c>
      <c r="N53">
        <f t="shared" ca="1" si="27"/>
        <v>3.316259259259259</v>
      </c>
      <c r="O53" s="234">
        <f t="shared" ca="1" si="16"/>
        <v>1.8888888888888888</v>
      </c>
      <c r="P53">
        <f t="shared" ca="1" si="28"/>
        <v>0.46151851851851888</v>
      </c>
      <c r="Q53">
        <f t="shared" ca="1" si="29"/>
        <v>0</v>
      </c>
      <c r="R53">
        <v>0</v>
      </c>
    </row>
    <row r="54" spans="1:153" x14ac:dyDescent="0.25">
      <c r="A54" s="253"/>
      <c r="B54" s="255"/>
      <c r="C54" s="234">
        <f t="shared" ca="1" si="17"/>
        <v>11.55076023391813</v>
      </c>
      <c r="D54" s="234">
        <f t="shared" ca="1" si="18"/>
        <v>9.8759454191033136</v>
      </c>
      <c r="E54" s="234">
        <f t="shared" ca="1" si="19"/>
        <v>8.2011306042884993</v>
      </c>
      <c r="F54" s="234">
        <f t="shared" si="15"/>
        <v>6.5263157894736841</v>
      </c>
      <c r="G54" s="234">
        <f t="shared" ca="1" si="20"/>
        <v>4.8515009746588689</v>
      </c>
      <c r="H54" s="234">
        <f t="shared" ca="1" si="21"/>
        <v>3.1766861598440546</v>
      </c>
      <c r="I54" s="234">
        <f t="shared" ca="1" si="22"/>
        <v>1.5018713450292394</v>
      </c>
      <c r="J54">
        <f t="shared" ca="1" si="23"/>
        <v>6</v>
      </c>
      <c r="K54" t="str">
        <f t="shared" ca="1" si="24"/>
        <v/>
      </c>
      <c r="L54">
        <f t="shared" ca="1" si="25"/>
        <v>6.1709999999999994</v>
      </c>
      <c r="M54">
        <f t="shared" ca="1" si="26"/>
        <v>4.7436296296296288</v>
      </c>
      <c r="N54">
        <f t="shared" ca="1" si="27"/>
        <v>3.316259259259259</v>
      </c>
      <c r="O54" s="234">
        <f t="shared" ca="1" si="16"/>
        <v>1.8888888888888888</v>
      </c>
      <c r="P54">
        <f t="shared" ca="1" si="28"/>
        <v>0.46151851851851888</v>
      </c>
      <c r="Q54">
        <f t="shared" ca="1" si="29"/>
        <v>0</v>
      </c>
      <c r="R54">
        <v>0</v>
      </c>
    </row>
    <row r="55" spans="1:153" x14ac:dyDescent="0.25">
      <c r="A55" s="253"/>
      <c r="B55" s="255"/>
      <c r="C55" s="234">
        <f t="shared" ca="1" si="17"/>
        <v>11.55076023391813</v>
      </c>
      <c r="D55" s="234">
        <f t="shared" ca="1" si="18"/>
        <v>9.8759454191033136</v>
      </c>
      <c r="E55" s="234">
        <f t="shared" ca="1" si="19"/>
        <v>8.2011306042884993</v>
      </c>
      <c r="F55" s="234">
        <f t="shared" si="15"/>
        <v>6.5263157894736841</v>
      </c>
      <c r="G55" s="234">
        <f t="shared" ca="1" si="20"/>
        <v>4.8515009746588689</v>
      </c>
      <c r="H55" s="234">
        <f t="shared" ca="1" si="21"/>
        <v>3.1766861598440546</v>
      </c>
      <c r="I55" s="234">
        <f t="shared" ca="1" si="22"/>
        <v>1.5018713450292394</v>
      </c>
      <c r="J55">
        <f t="shared" ca="1" si="23"/>
        <v>6</v>
      </c>
      <c r="K55" t="str">
        <f t="shared" ca="1" si="24"/>
        <v/>
      </c>
      <c r="L55">
        <f t="shared" ca="1" si="25"/>
        <v>6.1709999999999994</v>
      </c>
      <c r="M55">
        <f t="shared" ca="1" si="26"/>
        <v>4.7436296296296288</v>
      </c>
      <c r="N55">
        <f t="shared" ca="1" si="27"/>
        <v>3.316259259259259</v>
      </c>
      <c r="O55" s="234">
        <f t="shared" ca="1" si="16"/>
        <v>1.8888888888888888</v>
      </c>
      <c r="P55">
        <f t="shared" ca="1" si="28"/>
        <v>0.46151851851851888</v>
      </c>
      <c r="Q55">
        <f t="shared" ca="1" si="29"/>
        <v>0</v>
      </c>
      <c r="R55">
        <v>0</v>
      </c>
    </row>
    <row r="56" spans="1:153" x14ac:dyDescent="0.25">
      <c r="A56" s="253"/>
      <c r="B56" s="255"/>
      <c r="C56" s="234">
        <f t="shared" ca="1" si="17"/>
        <v>11.55076023391813</v>
      </c>
      <c r="D56" s="234">
        <f t="shared" ca="1" si="18"/>
        <v>9.8759454191033136</v>
      </c>
      <c r="E56" s="234">
        <f t="shared" ca="1" si="19"/>
        <v>8.2011306042884993</v>
      </c>
      <c r="F56" s="234">
        <f t="shared" si="15"/>
        <v>6.5263157894736841</v>
      </c>
      <c r="G56" s="234">
        <f t="shared" ca="1" si="20"/>
        <v>4.8515009746588689</v>
      </c>
      <c r="H56" s="234">
        <f t="shared" ca="1" si="21"/>
        <v>3.1766861598440546</v>
      </c>
      <c r="I56" s="234">
        <f t="shared" ca="1" si="22"/>
        <v>1.5018713450292394</v>
      </c>
      <c r="J56">
        <f t="shared" ca="1" si="23"/>
        <v>6</v>
      </c>
      <c r="K56" t="str">
        <f t="shared" ca="1" si="24"/>
        <v/>
      </c>
      <c r="L56">
        <f t="shared" ca="1" si="25"/>
        <v>6.1709999999999994</v>
      </c>
      <c r="M56">
        <f t="shared" ca="1" si="26"/>
        <v>4.7436296296296288</v>
      </c>
      <c r="N56">
        <f t="shared" ca="1" si="27"/>
        <v>3.316259259259259</v>
      </c>
      <c r="O56" s="234">
        <f t="shared" ca="1" si="16"/>
        <v>1.8888888888888888</v>
      </c>
      <c r="P56">
        <f t="shared" ca="1" si="28"/>
        <v>0.46151851851851888</v>
      </c>
      <c r="Q56">
        <f t="shared" ca="1" si="29"/>
        <v>0</v>
      </c>
      <c r="R56">
        <v>0</v>
      </c>
    </row>
    <row r="57" spans="1:153" x14ac:dyDescent="0.25">
      <c r="A57" s="253"/>
      <c r="B57" s="255"/>
      <c r="C57" s="234">
        <f t="shared" ca="1" si="17"/>
        <v>11.55076023391813</v>
      </c>
      <c r="D57" s="234">
        <f t="shared" ca="1" si="18"/>
        <v>9.8759454191033136</v>
      </c>
      <c r="E57" s="234">
        <f t="shared" ca="1" si="19"/>
        <v>8.2011306042884993</v>
      </c>
      <c r="F57" s="234">
        <f t="shared" si="15"/>
        <v>6.5263157894736841</v>
      </c>
      <c r="G57" s="234">
        <f t="shared" ca="1" si="20"/>
        <v>4.8515009746588689</v>
      </c>
      <c r="H57" s="234">
        <f t="shared" ca="1" si="21"/>
        <v>3.1766861598440546</v>
      </c>
      <c r="I57" s="234">
        <f t="shared" ca="1" si="22"/>
        <v>1.5018713450292394</v>
      </c>
      <c r="J57">
        <f t="shared" ca="1" si="23"/>
        <v>6</v>
      </c>
      <c r="K57" t="str">
        <f t="shared" ca="1" si="24"/>
        <v/>
      </c>
      <c r="L57">
        <f t="shared" ca="1" si="25"/>
        <v>6.1709999999999994</v>
      </c>
      <c r="M57">
        <f t="shared" ca="1" si="26"/>
        <v>4.7436296296296288</v>
      </c>
      <c r="N57">
        <f t="shared" ca="1" si="27"/>
        <v>3.316259259259259</v>
      </c>
      <c r="O57" s="234">
        <f t="shared" ca="1" si="16"/>
        <v>1.8888888888888888</v>
      </c>
      <c r="P57">
        <f t="shared" ca="1" si="28"/>
        <v>0.46151851851851888</v>
      </c>
      <c r="Q57">
        <f t="shared" ca="1" si="29"/>
        <v>0</v>
      </c>
      <c r="R57">
        <v>0</v>
      </c>
    </row>
    <row r="58" spans="1:153" x14ac:dyDescent="0.25">
      <c r="A58" s="253"/>
      <c r="B58" s="255"/>
      <c r="C58" s="234">
        <f t="shared" ca="1" si="17"/>
        <v>11.55076023391813</v>
      </c>
      <c r="D58" s="234">
        <f t="shared" ca="1" si="18"/>
        <v>9.8759454191033136</v>
      </c>
      <c r="E58" s="234">
        <f t="shared" ca="1" si="19"/>
        <v>8.2011306042884993</v>
      </c>
      <c r="F58" s="234">
        <f t="shared" si="15"/>
        <v>6.5263157894736841</v>
      </c>
      <c r="G58" s="234">
        <f t="shared" ca="1" si="20"/>
        <v>4.8515009746588689</v>
      </c>
      <c r="H58" s="234">
        <f t="shared" ca="1" si="21"/>
        <v>3.1766861598440546</v>
      </c>
      <c r="I58" s="234">
        <f t="shared" ca="1" si="22"/>
        <v>1.5018713450292394</v>
      </c>
      <c r="J58">
        <f t="shared" ca="1" si="23"/>
        <v>6</v>
      </c>
      <c r="K58" t="str">
        <f t="shared" ca="1" si="24"/>
        <v/>
      </c>
      <c r="L58">
        <f t="shared" ca="1" si="25"/>
        <v>6.1709999999999994</v>
      </c>
      <c r="M58">
        <f t="shared" ca="1" si="26"/>
        <v>4.7436296296296288</v>
      </c>
      <c r="N58">
        <f t="shared" ca="1" si="27"/>
        <v>3.316259259259259</v>
      </c>
      <c r="O58" s="234">
        <f t="shared" ca="1" si="16"/>
        <v>1.8888888888888888</v>
      </c>
      <c r="P58">
        <f t="shared" ca="1" si="28"/>
        <v>0.46151851851851888</v>
      </c>
      <c r="Q58">
        <f t="shared" ca="1" si="29"/>
        <v>0</v>
      </c>
      <c r="R58">
        <v>0</v>
      </c>
    </row>
    <row r="59" spans="1:153" x14ac:dyDescent="0.25">
      <c r="A59" s="253"/>
      <c r="B59" s="255"/>
    </row>
    <row r="60" spans="1:153" x14ac:dyDescent="0.25">
      <c r="A60" s="253"/>
      <c r="B60" s="255"/>
    </row>
    <row r="61" spans="1:153" x14ac:dyDescent="0.25">
      <c r="A61" s="253"/>
      <c r="B61" s="255"/>
    </row>
    <row r="62" spans="1:153" x14ac:dyDescent="0.25">
      <c r="A62" s="253"/>
      <c r="B62" s="255"/>
    </row>
    <row r="63" spans="1:153" x14ac:dyDescent="0.25">
      <c r="A63" s="253"/>
      <c r="B63" s="255"/>
    </row>
    <row r="64" spans="1:153" x14ac:dyDescent="0.25">
      <c r="A64" s="253"/>
      <c r="B64" s="255"/>
    </row>
    <row r="65" spans="1:153" x14ac:dyDescent="0.25">
      <c r="A65" s="253"/>
      <c r="B65" s="255"/>
    </row>
    <row r="66" spans="1:153" x14ac:dyDescent="0.25">
      <c r="A66" s="253"/>
      <c r="B66" s="255"/>
    </row>
    <row r="67" spans="1:153" x14ac:dyDescent="0.25">
      <c r="A67" s="253"/>
      <c r="B67" s="255"/>
    </row>
    <row r="68" spans="1:153" x14ac:dyDescent="0.25">
      <c r="A68" s="253"/>
      <c r="B68" s="255"/>
    </row>
    <row r="69" spans="1:153" x14ac:dyDescent="0.25">
      <c r="A69" s="253"/>
      <c r="B69" s="255"/>
    </row>
    <row r="70" spans="1:153" x14ac:dyDescent="0.25">
      <c r="A70" s="253"/>
      <c r="B70" s="255"/>
    </row>
    <row r="71" spans="1:153" x14ac:dyDescent="0.25">
      <c r="A71" s="253"/>
      <c r="B71" s="255"/>
    </row>
    <row r="72" spans="1:153" x14ac:dyDescent="0.25">
      <c r="A72" s="253"/>
      <c r="B72" s="255"/>
    </row>
    <row r="73" spans="1:153" x14ac:dyDescent="0.25">
      <c r="A73" s="253"/>
      <c r="B73" s="255"/>
    </row>
    <row r="74" spans="1:153" x14ac:dyDescent="0.25">
      <c r="A74" s="253"/>
      <c r="B74" s="255"/>
    </row>
    <row r="75" spans="1:153" x14ac:dyDescent="0.25">
      <c r="A75" s="253"/>
      <c r="B75" s="255"/>
    </row>
    <row r="76" spans="1:153" x14ac:dyDescent="0.25">
      <c r="A76" s="253"/>
      <c r="B76" s="255"/>
    </row>
    <row r="77" spans="1:153" x14ac:dyDescent="0.25">
      <c r="A77" s="253"/>
      <c r="B77" s="255"/>
    </row>
    <row r="78" spans="1:153" x14ac:dyDescent="0.25">
      <c r="A78" s="253"/>
      <c r="B78" s="255"/>
    </row>
    <row r="79" spans="1:153" x14ac:dyDescent="0.25">
      <c r="A79" s="253"/>
      <c r="B79" s="255"/>
    </row>
    <row r="80" spans="1:153" x14ac:dyDescent="0.25">
      <c r="A80" s="253"/>
      <c r="B80" s="255"/>
    </row>
    <row r="81" spans="1:153" x14ac:dyDescent="0.25">
      <c r="A81" s="253"/>
      <c r="B81" s="255"/>
    </row>
    <row r="82" spans="1:153" x14ac:dyDescent="0.25">
      <c r="A82" s="253"/>
      <c r="B82" s="255"/>
    </row>
    <row r="83" spans="1:153" x14ac:dyDescent="0.25">
      <c r="A83" s="253"/>
      <c r="B83" s="255"/>
    </row>
    <row r="84" spans="1:153" x14ac:dyDescent="0.25">
      <c r="A84" s="253"/>
      <c r="B84" s="255"/>
    </row>
    <row r="85" spans="1:153" x14ac:dyDescent="0.25">
      <c r="A85" s="253"/>
      <c r="B85" s="255"/>
    </row>
    <row r="86" spans="1:153" x14ac:dyDescent="0.25">
      <c r="A86" s="253"/>
      <c r="B86" s="255"/>
    </row>
    <row r="87" spans="1:153" x14ac:dyDescent="0.25">
      <c r="A87" s="253"/>
      <c r="B87" s="255"/>
    </row>
    <row r="88" spans="1:153" x14ac:dyDescent="0.25">
      <c r="A88" s="253"/>
      <c r="B88" s="255"/>
    </row>
    <row r="89" spans="1:153" x14ac:dyDescent="0.25">
      <c r="A89" s="253"/>
      <c r="B89" s="255"/>
    </row>
    <row r="90" spans="1:153" x14ac:dyDescent="0.25">
      <c r="A90" s="253"/>
      <c r="B90" s="255"/>
    </row>
    <row r="91" spans="1:153" x14ac:dyDescent="0.25">
      <c r="A91" s="253"/>
      <c r="B91" s="255"/>
    </row>
    <row r="92" spans="1:153" x14ac:dyDescent="0.25">
      <c r="A92" s="253"/>
      <c r="B92" s="255"/>
    </row>
    <row r="93" spans="1:153" x14ac:dyDescent="0.25">
      <c r="A93" s="253"/>
      <c r="B93" s="255"/>
    </row>
    <row r="94" spans="1:153" x14ac:dyDescent="0.25">
      <c r="A94" s="253"/>
      <c r="B94" s="255"/>
    </row>
    <row r="95" spans="1:153" x14ac:dyDescent="0.25">
      <c r="A95" s="253"/>
      <c r="B95" s="255"/>
    </row>
    <row r="96" spans="1:153" x14ac:dyDescent="0.25">
      <c r="A96" s="253"/>
      <c r="B96" s="255"/>
    </row>
    <row r="97" spans="1:153" x14ac:dyDescent="0.25">
      <c r="A97" s="253"/>
      <c r="B97" s="255"/>
    </row>
    <row r="98" spans="1:153" x14ac:dyDescent="0.25">
      <c r="A98" s="253"/>
      <c r="B98" s="255"/>
    </row>
    <row r="99" spans="1:153" x14ac:dyDescent="0.25">
      <c r="A99" s="253"/>
      <c r="B99" s="255"/>
    </row>
    <row r="100" spans="1:153" x14ac:dyDescent="0.25">
      <c r="A100" s="253"/>
      <c r="B100" s="255"/>
    </row>
    <row r="101" spans="1:153" x14ac:dyDescent="0.25">
      <c r="A101" s="253"/>
      <c r="B101" s="255"/>
    </row>
    <row r="102" spans="1:153" x14ac:dyDescent="0.25">
      <c r="A102" s="253"/>
      <c r="B102" s="255"/>
    </row>
    <row r="103" spans="1:153" x14ac:dyDescent="0.25">
      <c r="A103" s="253"/>
      <c r="B103" s="255"/>
    </row>
    <row r="104" spans="1:153" x14ac:dyDescent="0.25">
      <c r="A104" s="253"/>
      <c r="B104" s="255"/>
    </row>
    <row r="105" spans="1:153" x14ac:dyDescent="0.25">
      <c r="A105" s="253"/>
      <c r="B105" s="255"/>
    </row>
    <row r="106" spans="1:153" x14ac:dyDescent="0.25">
      <c r="A106" s="253"/>
      <c r="B106" s="255"/>
    </row>
    <row r="107" spans="1:153" x14ac:dyDescent="0.25">
      <c r="A107" s="253"/>
      <c r="B107" s="255"/>
    </row>
    <row r="108" spans="1:153" x14ac:dyDescent="0.25">
      <c r="A108" s="253"/>
      <c r="B108" s="255"/>
    </row>
    <row r="109" spans="1:153" x14ac:dyDescent="0.25">
      <c r="A109" s="253"/>
      <c r="B109" s="255"/>
    </row>
    <row r="110" spans="1:153" x14ac:dyDescent="0.25">
      <c r="A110" s="253"/>
      <c r="B110" s="255"/>
    </row>
    <row r="111" spans="1:153" x14ac:dyDescent="0.25">
      <c r="A111" s="253"/>
      <c r="B111" s="255"/>
    </row>
    <row r="112" spans="1:153" x14ac:dyDescent="0.25">
      <c r="A112" s="253"/>
      <c r="B112" s="255"/>
    </row>
    <row r="113" spans="1:153" x14ac:dyDescent="0.25">
      <c r="A113" s="253"/>
      <c r="B113" s="255"/>
    </row>
    <row r="114" spans="1:153" x14ac:dyDescent="0.25">
      <c r="A114" s="253"/>
      <c r="B114" s="255"/>
    </row>
    <row r="115" spans="1:153" x14ac:dyDescent="0.25">
      <c r="A115" s="253"/>
      <c r="B115" s="255"/>
    </row>
    <row r="116" spans="1:153" x14ac:dyDescent="0.25">
      <c r="A116" s="253"/>
      <c r="B116" s="255"/>
    </row>
    <row r="117" spans="1:153" x14ac:dyDescent="0.25">
      <c r="A117" s="253"/>
      <c r="B117" s="255"/>
    </row>
    <row r="118" spans="1:153" x14ac:dyDescent="0.25">
      <c r="A118" s="253"/>
      <c r="B118" s="255"/>
    </row>
    <row r="119" spans="1:153" x14ac:dyDescent="0.25">
      <c r="A119" s="253"/>
      <c r="B119" s="255"/>
    </row>
    <row r="120" spans="1:153" x14ac:dyDescent="0.25">
      <c r="A120" s="253"/>
      <c r="B120" s="255"/>
    </row>
    <row r="121" spans="1:153" x14ac:dyDescent="0.25">
      <c r="A121" s="253"/>
      <c r="B121" s="255"/>
    </row>
    <row r="122" spans="1:153" x14ac:dyDescent="0.25">
      <c r="A122" s="253"/>
      <c r="B122" s="255"/>
    </row>
    <row r="123" spans="1:153" x14ac:dyDescent="0.25">
      <c r="A123" s="253"/>
      <c r="B123" s="255"/>
    </row>
    <row r="124" spans="1:153" x14ac:dyDescent="0.25">
      <c r="A124" s="253"/>
      <c r="B124" s="255"/>
    </row>
    <row r="125" spans="1:153" x14ac:dyDescent="0.25">
      <c r="A125" s="253"/>
      <c r="B125" s="255"/>
    </row>
    <row r="126" spans="1:153" x14ac:dyDescent="0.25">
      <c r="A126" s="253"/>
      <c r="B126" s="255"/>
    </row>
    <row r="127" spans="1:153" x14ac:dyDescent="0.25">
      <c r="A127" s="253"/>
      <c r="B127" s="255"/>
    </row>
    <row r="128" spans="1:153" x14ac:dyDescent="0.25">
      <c r="A128" s="253"/>
      <c r="B128" s="255"/>
    </row>
    <row r="129" spans="1:153" x14ac:dyDescent="0.25">
      <c r="A129" s="253"/>
      <c r="B129" s="255"/>
    </row>
    <row r="130" spans="1:153" x14ac:dyDescent="0.25">
      <c r="A130" s="253"/>
      <c r="B130" s="255"/>
    </row>
    <row r="131" spans="1:153" x14ac:dyDescent="0.25">
      <c r="A131" s="253"/>
      <c r="B131" s="255"/>
    </row>
    <row r="132" spans="1:153" x14ac:dyDescent="0.25">
      <c r="A132" s="253"/>
      <c r="B132" s="255"/>
    </row>
    <row r="133" spans="1:153" x14ac:dyDescent="0.25">
      <c r="A133" s="253"/>
      <c r="B133" s="255"/>
    </row>
    <row r="134" spans="1:153" x14ac:dyDescent="0.25">
      <c r="A134" s="253"/>
      <c r="B134" s="255"/>
    </row>
    <row r="135" spans="1:153" x14ac:dyDescent="0.25">
      <c r="A135" s="253"/>
      <c r="B135" s="255"/>
    </row>
    <row r="136" spans="1:153" x14ac:dyDescent="0.25">
      <c r="A136" s="253"/>
      <c r="B136" s="255"/>
    </row>
    <row r="137" spans="1:153" x14ac:dyDescent="0.25">
      <c r="A137" s="253"/>
      <c r="B137" s="255"/>
    </row>
    <row r="138" spans="1:153" x14ac:dyDescent="0.25">
      <c r="A138" s="253"/>
      <c r="B138" s="255"/>
    </row>
    <row r="139" spans="1:153" x14ac:dyDescent="0.25">
      <c r="A139" s="253"/>
      <c r="B139" s="255"/>
    </row>
    <row r="140" spans="1:153" x14ac:dyDescent="0.25">
      <c r="A140" s="253"/>
      <c r="B140" s="255"/>
    </row>
    <row r="141" spans="1:153" x14ac:dyDescent="0.25">
      <c r="A141" s="253"/>
      <c r="B141" s="255"/>
    </row>
    <row r="142" spans="1:153" x14ac:dyDescent="0.25">
      <c r="A142" s="253"/>
      <c r="B142" s="255"/>
    </row>
    <row r="143" spans="1:153" x14ac:dyDescent="0.25">
      <c r="A143" s="253"/>
      <c r="B143" s="255"/>
    </row>
    <row r="144" spans="1:153" x14ac:dyDescent="0.25">
      <c r="A144" s="253"/>
      <c r="B144" s="255"/>
    </row>
    <row r="145" spans="1:153" x14ac:dyDescent="0.25">
      <c r="A145" s="253"/>
      <c r="B145" s="255"/>
    </row>
    <row r="146" spans="1:153" x14ac:dyDescent="0.25">
      <c r="A146" s="253"/>
      <c r="B146" s="255"/>
    </row>
    <row r="147" spans="1:153" x14ac:dyDescent="0.25">
      <c r="A147" s="253"/>
      <c r="B147" s="255"/>
    </row>
    <row r="148" spans="1:153" x14ac:dyDescent="0.25">
      <c r="A148" s="253"/>
      <c r="B148" s="255"/>
    </row>
    <row r="149" spans="1:153" x14ac:dyDescent="0.25">
      <c r="A149" s="253"/>
      <c r="B149" s="255"/>
    </row>
    <row r="150" spans="1:153" x14ac:dyDescent="0.25">
      <c r="A150" s="253"/>
      <c r="B150" s="255"/>
    </row>
    <row r="151" spans="1:153" x14ac:dyDescent="0.25">
      <c r="A151" s="253"/>
      <c r="B151" s="255"/>
    </row>
    <row r="152" spans="1:153" x14ac:dyDescent="0.25">
      <c r="A152" s="253"/>
      <c r="B152" s="255"/>
    </row>
    <row r="153" spans="1:153" x14ac:dyDescent="0.25">
      <c r="A153" s="253"/>
      <c r="B153" s="255"/>
    </row>
    <row r="154" spans="1:153" x14ac:dyDescent="0.25">
      <c r="A154" s="253"/>
      <c r="B154" s="255"/>
    </row>
    <row r="155" spans="1:153" x14ac:dyDescent="0.25">
      <c r="A155" s="253"/>
      <c r="B155" s="255"/>
    </row>
    <row r="156" spans="1:153" x14ac:dyDescent="0.25">
      <c r="A156" s="253"/>
      <c r="B156" s="255"/>
    </row>
    <row r="157" spans="1:153" x14ac:dyDescent="0.25">
      <c r="A157" s="253"/>
      <c r="B157" s="255"/>
    </row>
    <row r="158" spans="1:153" x14ac:dyDescent="0.25">
      <c r="A158" s="253"/>
      <c r="B158" s="255"/>
    </row>
    <row r="159" spans="1:153" x14ac:dyDescent="0.25">
      <c r="A159" s="253"/>
      <c r="B159" s="255"/>
    </row>
    <row r="160" spans="1:153" x14ac:dyDescent="0.25">
      <c r="A160" s="253"/>
      <c r="B160" s="255"/>
    </row>
    <row r="161" spans="1:153" x14ac:dyDescent="0.25">
      <c r="A161" s="253"/>
      <c r="B161" s="255"/>
    </row>
    <row r="162" spans="1:153" x14ac:dyDescent="0.25">
      <c r="A162" s="253"/>
      <c r="B162" s="255"/>
    </row>
    <row r="163" spans="1:153" x14ac:dyDescent="0.25">
      <c r="A163" s="253"/>
      <c r="B163" s="255"/>
    </row>
    <row r="164" spans="1:153" x14ac:dyDescent="0.25">
      <c r="A164" s="253"/>
      <c r="B164" s="255"/>
    </row>
    <row r="165" spans="1:153" x14ac:dyDescent="0.25">
      <c r="A165" s="253"/>
      <c r="B165" s="255"/>
    </row>
    <row r="166" spans="1:153" x14ac:dyDescent="0.25">
      <c r="A166" s="253"/>
      <c r="B166" s="255"/>
    </row>
    <row r="167" spans="1:153" x14ac:dyDescent="0.25">
      <c r="A167" s="253"/>
      <c r="B167" s="255"/>
    </row>
    <row r="168" spans="1:153" x14ac:dyDescent="0.25">
      <c r="A168" s="253"/>
      <c r="B168" s="255"/>
    </row>
    <row r="169" spans="1:153" x14ac:dyDescent="0.25">
      <c r="A169" s="253"/>
      <c r="B169" s="255"/>
    </row>
    <row r="170" spans="1:153" x14ac:dyDescent="0.25">
      <c r="A170" s="253"/>
      <c r="B170" s="255"/>
    </row>
    <row r="171" spans="1:153" x14ac:dyDescent="0.25">
      <c r="A171" s="253"/>
      <c r="B171" s="255"/>
    </row>
    <row r="172" spans="1:153" x14ac:dyDescent="0.25">
      <c r="A172" s="253"/>
      <c r="B172" s="255"/>
    </row>
    <row r="173" spans="1:153" x14ac:dyDescent="0.25">
      <c r="A173" s="253"/>
      <c r="B173" s="255"/>
    </row>
    <row r="174" spans="1:153" x14ac:dyDescent="0.25">
      <c r="A174" s="253"/>
      <c r="B174" s="255"/>
    </row>
    <row r="175" spans="1:153" x14ac:dyDescent="0.25">
      <c r="A175" s="253"/>
      <c r="B175" s="255"/>
    </row>
    <row r="176" spans="1:153" x14ac:dyDescent="0.25">
      <c r="A176" s="253"/>
      <c r="B176" s="255"/>
    </row>
    <row r="177" spans="1:153" x14ac:dyDescent="0.25">
      <c r="A177" s="253"/>
      <c r="B177" s="255"/>
    </row>
    <row r="178" spans="1:153" x14ac:dyDescent="0.25">
      <c r="A178" s="253"/>
      <c r="B178" s="255"/>
    </row>
    <row r="179" spans="1:153" x14ac:dyDescent="0.25">
      <c r="A179" s="253"/>
      <c r="B179" s="255"/>
    </row>
    <row r="180" spans="1:153" x14ac:dyDescent="0.25">
      <c r="A180" s="253"/>
      <c r="B180" s="255"/>
    </row>
    <row r="181" spans="1:153" x14ac:dyDescent="0.25">
      <c r="A181" s="253"/>
      <c r="B181" s="255"/>
    </row>
    <row r="182" spans="1:153" x14ac:dyDescent="0.25">
      <c r="A182" s="253"/>
      <c r="B182" s="255"/>
    </row>
    <row r="183" spans="1:153" x14ac:dyDescent="0.25">
      <c r="A183" s="253"/>
      <c r="B183" s="255"/>
    </row>
    <row r="184" spans="1:153" x14ac:dyDescent="0.25">
      <c r="A184" s="253"/>
      <c r="B184" s="255"/>
    </row>
    <row r="185" spans="1:153" x14ac:dyDescent="0.25">
      <c r="A185" s="253"/>
      <c r="B185" s="255"/>
    </row>
    <row r="186" spans="1:153" x14ac:dyDescent="0.25">
      <c r="A186" s="253"/>
      <c r="B186" s="255"/>
    </row>
    <row r="187" spans="1:153" x14ac:dyDescent="0.25">
      <c r="A187" s="253"/>
      <c r="B187" s="255"/>
    </row>
    <row r="188" spans="1:153" x14ac:dyDescent="0.25">
      <c r="A188" s="253"/>
      <c r="B188" s="255"/>
    </row>
    <row r="189" spans="1:153" x14ac:dyDescent="0.25">
      <c r="A189" s="253"/>
      <c r="B189" s="255"/>
    </row>
    <row r="190" spans="1:153" x14ac:dyDescent="0.25">
      <c r="A190" s="253"/>
      <c r="B190" s="255"/>
    </row>
    <row r="191" spans="1:153" x14ac:dyDescent="0.25">
      <c r="A191" s="253"/>
      <c r="B191" s="255"/>
    </row>
    <row r="192" spans="1:153" x14ac:dyDescent="0.25">
      <c r="A192" s="253"/>
      <c r="B192" s="255"/>
    </row>
    <row r="193" spans="1:153" x14ac:dyDescent="0.25">
      <c r="A193" s="253"/>
      <c r="B193" s="255"/>
    </row>
    <row r="194" spans="1:153" x14ac:dyDescent="0.25">
      <c r="A194" s="253"/>
      <c r="B194" s="255"/>
    </row>
    <row r="195" spans="1:153" x14ac:dyDescent="0.25">
      <c r="A195" s="253"/>
      <c r="B195" s="255"/>
    </row>
    <row r="196" spans="1:153" x14ac:dyDescent="0.25">
      <c r="A196" s="253"/>
      <c r="B196" s="255"/>
    </row>
    <row r="197" spans="1:153" x14ac:dyDescent="0.25">
      <c r="A197" s="253"/>
      <c r="B197" s="255"/>
    </row>
    <row r="198" spans="1:153" x14ac:dyDescent="0.25">
      <c r="A198" s="253"/>
      <c r="B198" s="255"/>
    </row>
    <row r="199" spans="1:153" x14ac:dyDescent="0.25">
      <c r="A199" s="253"/>
      <c r="B199" s="255"/>
    </row>
    <row r="200" spans="1:153" x14ac:dyDescent="0.25">
      <c r="A200" s="253"/>
      <c r="B200" s="255"/>
    </row>
    <row r="201" spans="1:153" x14ac:dyDescent="0.25">
      <c r="A201" s="253"/>
      <c r="B201" s="255"/>
    </row>
    <row r="202" spans="1:153" x14ac:dyDescent="0.25">
      <c r="A202" s="253"/>
      <c r="B202" s="255"/>
    </row>
    <row r="203" spans="1:153" x14ac:dyDescent="0.25">
      <c r="A203" s="253"/>
      <c r="B203" s="255"/>
    </row>
    <row r="204" spans="1:153" x14ac:dyDescent="0.25">
      <c r="A204" s="253"/>
      <c r="B204" s="255"/>
    </row>
    <row r="205" spans="1:153" x14ac:dyDescent="0.25">
      <c r="A205" s="253"/>
      <c r="B205" s="255"/>
    </row>
    <row r="206" spans="1:153" x14ac:dyDescent="0.25">
      <c r="A206" s="253"/>
      <c r="B206" s="255"/>
    </row>
    <row r="207" spans="1:153" x14ac:dyDescent="0.25">
      <c r="A207" s="253"/>
      <c r="B207" s="255"/>
    </row>
    <row r="208" spans="1:153" x14ac:dyDescent="0.25">
      <c r="A208" s="253"/>
      <c r="B208" s="255"/>
    </row>
    <row r="209" spans="1:153" x14ac:dyDescent="0.25">
      <c r="A209" s="253"/>
      <c r="B209" s="255"/>
    </row>
    <row r="210" spans="1:153" x14ac:dyDescent="0.25">
      <c r="A210" s="253"/>
      <c r="B210" s="255"/>
    </row>
    <row r="211" spans="1:153" x14ac:dyDescent="0.25">
      <c r="A211" s="253"/>
      <c r="B211" s="255"/>
    </row>
    <row r="212" spans="1:153" x14ac:dyDescent="0.25">
      <c r="A212" s="253"/>
      <c r="B212" s="255"/>
    </row>
    <row r="213" spans="1:153" x14ac:dyDescent="0.25">
      <c r="A213" s="253"/>
      <c r="B213" s="255"/>
    </row>
    <row r="214" spans="1:153" x14ac:dyDescent="0.25">
      <c r="A214" s="253"/>
      <c r="B214" s="255"/>
    </row>
    <row r="215" spans="1:153" x14ac:dyDescent="0.25">
      <c r="A215" s="253"/>
      <c r="B215" s="255"/>
    </row>
    <row r="216" spans="1:153" x14ac:dyDescent="0.25">
      <c r="A216" s="253"/>
      <c r="B216" s="255"/>
    </row>
    <row r="217" spans="1:153" x14ac:dyDescent="0.25">
      <c r="A217" s="253"/>
      <c r="B217" s="255"/>
    </row>
    <row r="218" spans="1:153" x14ac:dyDescent="0.25">
      <c r="A218" s="253"/>
      <c r="B218" s="255"/>
    </row>
    <row r="219" spans="1:153" x14ac:dyDescent="0.25">
      <c r="A219" s="253"/>
      <c r="B219" s="255"/>
    </row>
    <row r="220" spans="1:153" x14ac:dyDescent="0.25">
      <c r="A220" s="253"/>
      <c r="B220" s="255"/>
    </row>
    <row r="221" spans="1:153" x14ac:dyDescent="0.25">
      <c r="A221" s="253"/>
      <c r="B221" s="255"/>
    </row>
    <row r="222" spans="1:153" x14ac:dyDescent="0.25">
      <c r="A222" s="253"/>
      <c r="B222" s="255"/>
    </row>
    <row r="223" spans="1:153" x14ac:dyDescent="0.25">
      <c r="A223" s="253"/>
      <c r="B223" s="255"/>
    </row>
    <row r="224" spans="1:153" x14ac:dyDescent="0.25">
      <c r="A224" s="253"/>
      <c r="B224" s="255"/>
    </row>
    <row r="225" spans="1:153" x14ac:dyDescent="0.25">
      <c r="A225" s="253"/>
      <c r="B225" s="255"/>
    </row>
    <row r="226" spans="1:153" x14ac:dyDescent="0.25">
      <c r="A226" s="253"/>
      <c r="B226" s="255"/>
    </row>
    <row r="227" spans="1:153" x14ac:dyDescent="0.25">
      <c r="A227" s="253"/>
      <c r="B227" s="255"/>
    </row>
    <row r="228" spans="1:153" x14ac:dyDescent="0.25">
      <c r="A228" s="253"/>
      <c r="B228" s="255"/>
    </row>
    <row r="229" spans="1:153" x14ac:dyDescent="0.25">
      <c r="A229" s="253"/>
      <c r="B229" s="255"/>
    </row>
    <row r="230" spans="1:153" x14ac:dyDescent="0.25">
      <c r="A230" s="253"/>
      <c r="B230" s="255"/>
    </row>
    <row r="231" spans="1:153" x14ac:dyDescent="0.25">
      <c r="A231" s="253"/>
      <c r="B231" s="255"/>
    </row>
    <row r="232" spans="1:153" x14ac:dyDescent="0.25">
      <c r="A232" s="253"/>
      <c r="B232" s="255"/>
    </row>
    <row r="233" spans="1:153" x14ac:dyDescent="0.25">
      <c r="A233" s="253"/>
      <c r="B233" s="255"/>
    </row>
    <row r="234" spans="1:153" x14ac:dyDescent="0.25">
      <c r="A234" s="253"/>
      <c r="B234" s="255"/>
    </row>
    <row r="235" spans="1:153" x14ac:dyDescent="0.25">
      <c r="A235" s="253"/>
      <c r="B235" s="255"/>
    </row>
    <row r="236" spans="1:153" x14ac:dyDescent="0.25">
      <c r="A236" s="253"/>
      <c r="B236" s="255"/>
    </row>
    <row r="237" spans="1:153" x14ac:dyDescent="0.25">
      <c r="A237" s="253"/>
      <c r="B237" s="244"/>
    </row>
    <row r="238" spans="1:153" x14ac:dyDescent="0.25">
      <c r="A238" s="253"/>
      <c r="B238" s="244"/>
    </row>
    <row r="239" spans="1:153" x14ac:dyDescent="0.25">
      <c r="A239" s="253"/>
      <c r="B239" s="241"/>
    </row>
    <row r="240" spans="1:153" x14ac:dyDescent="0.25">
      <c r="A240" s="253"/>
      <c r="B240" s="241"/>
    </row>
    <row r="241" spans="1:153" x14ac:dyDescent="0.25">
      <c r="A241" s="253"/>
      <c r="B241" s="241"/>
    </row>
    <row r="242" spans="1:153" x14ac:dyDescent="0.25">
      <c r="A242" s="253"/>
      <c r="B242" s="241"/>
    </row>
  </sheetData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C242"/>
  <sheetViews>
    <sheetView zoomScale="70" zoomScaleNormal="70" workbookViewId="0">
      <pane xSplit="1" topLeftCell="EW1" activePane="topRight" state="frozen"/>
      <selection pane="topRight" activeCell="FC1" activeCellId="1" sqref="G1:G1048576 FC1:FC1048576"/>
    </sheetView>
  </sheetViews>
  <sheetFormatPr defaultColWidth="11" defaultRowHeight="15.75" x14ac:dyDescent="0.25"/>
  <cols>
    <col min="1" max="1" width="19.75" style="116" customWidth="1"/>
    <col min="2" max="2" width="14.625" style="47" customWidth="1"/>
    <col min="3" max="3" width="9.25" style="47" customWidth="1"/>
    <col min="4" max="4" width="10" style="47" customWidth="1"/>
    <col min="5" max="5" width="6.875" style="47" customWidth="1"/>
    <col min="6" max="6" width="11" style="47"/>
    <col min="7" max="7" width="13.625" style="48" customWidth="1"/>
    <col min="8" max="8" width="9.375" style="47" customWidth="1"/>
    <col min="9" max="9" width="9.625" style="47" customWidth="1"/>
    <col min="10" max="10" width="19.375" style="47" customWidth="1"/>
    <col min="11" max="11" width="5.625" style="47" customWidth="1"/>
    <col min="12" max="12" width="13.5" style="47" customWidth="1"/>
    <col min="13" max="22" width="11" style="47"/>
    <col min="23" max="23" width="13.125" style="47" customWidth="1"/>
    <col min="24" max="29" width="11" style="47"/>
    <col min="30" max="30" width="13.375" style="47" customWidth="1"/>
    <col min="31" max="31" width="12.75" style="47" customWidth="1"/>
    <col min="32" max="32" width="11" style="47"/>
    <col min="33" max="33" width="12.875" style="47" customWidth="1"/>
    <col min="34" max="34" width="12.75" style="47" customWidth="1"/>
    <col min="35" max="35" width="8.75" style="47" customWidth="1"/>
    <col min="36" max="36" width="7.875" style="47" customWidth="1"/>
    <col min="37" max="37" width="11" style="47"/>
    <col min="38" max="38" width="9.875" style="47" customWidth="1"/>
    <col min="39" max="39" width="8.75" style="47" customWidth="1"/>
    <col min="40" max="40" width="9.875" style="47" customWidth="1"/>
    <col min="41" max="41" width="12.375" style="47" customWidth="1"/>
    <col min="42" max="44" width="11" style="47"/>
    <col min="45" max="45" width="15" style="47" customWidth="1"/>
    <col min="46" max="46" width="14.875" style="47" customWidth="1"/>
    <col min="47" max="48" width="14.875" style="50" customWidth="1"/>
    <col min="49" max="49" width="19.5" style="47" customWidth="1"/>
    <col min="50" max="50" width="13.625" style="47" customWidth="1"/>
    <col min="51" max="51" width="12.25" style="47" customWidth="1"/>
    <col min="52" max="52" width="11.875" style="47" customWidth="1"/>
    <col min="53" max="53" width="11" style="47"/>
    <col min="54" max="54" width="10.25" style="47" customWidth="1"/>
    <col min="55" max="71" width="11" style="47"/>
    <col min="72" max="72" width="12.75" style="47" customWidth="1"/>
    <col min="73" max="77" width="11" style="47"/>
    <col min="78" max="78" width="28.875" style="47" customWidth="1"/>
    <col min="79" max="79" width="16.125" style="47" customWidth="1"/>
    <col min="80" max="87" width="11" style="47"/>
    <col min="88" max="88" width="13.125" style="47" customWidth="1"/>
    <col min="89" max="90" width="11" style="47"/>
    <col min="91" max="91" width="20.375" style="47" customWidth="1"/>
    <col min="92" max="92" width="19.625" style="47" customWidth="1"/>
    <col min="93" max="93" width="21.125" style="47" customWidth="1"/>
    <col min="94" max="94" width="13.375" style="47" customWidth="1"/>
    <col min="95" max="95" width="16.125" style="47" customWidth="1"/>
    <col min="96" max="96" width="22.75" style="47" customWidth="1"/>
    <col min="97" max="97" width="22.875" style="47" customWidth="1"/>
    <col min="98" max="98" width="11" style="47"/>
    <col min="99" max="99" width="6.875" style="47" customWidth="1"/>
    <col min="100" max="100" width="17.75" style="47" customWidth="1"/>
    <col min="101" max="101" width="9.125" style="47" customWidth="1"/>
    <col min="102" max="102" width="14.375" style="47" customWidth="1"/>
    <col min="103" max="103" width="14" style="47" customWidth="1"/>
    <col min="104" max="104" width="14" style="55" customWidth="1"/>
    <col min="105" max="105" width="19.625" style="47" customWidth="1"/>
    <col min="106" max="106" width="21.125" style="47" customWidth="1"/>
    <col min="107" max="107" width="15.375" style="47" customWidth="1"/>
    <col min="108" max="108" width="14.5" style="47" customWidth="1"/>
    <col min="109" max="109" width="18.875" style="47" customWidth="1"/>
    <col min="110" max="110" width="16.875" style="47" customWidth="1"/>
    <col min="111" max="111" width="15.25" style="47" customWidth="1"/>
    <col min="112" max="117" width="13.375" style="47" customWidth="1"/>
    <col min="118" max="118" width="16.75" style="47" customWidth="1"/>
    <col min="119" max="119" width="21.375" style="47" customWidth="1"/>
    <col min="120" max="120" width="20.625" style="47" customWidth="1"/>
    <col min="121" max="121" width="21" style="47" customWidth="1"/>
    <col min="122" max="122" width="14.875" style="47" customWidth="1"/>
    <col min="123" max="123" width="22.5" style="47" customWidth="1"/>
    <col min="124" max="125" width="21.875" style="47" customWidth="1"/>
    <col min="126" max="126" width="22" style="47" customWidth="1"/>
    <col min="127" max="127" width="21.625" style="47" customWidth="1"/>
    <col min="128" max="128" width="21.875" style="47" customWidth="1"/>
    <col min="130" max="130" width="16.875" style="47" customWidth="1"/>
    <col min="131" max="132" width="14.625" style="47" customWidth="1"/>
    <col min="133" max="133" width="15" style="47" customWidth="1"/>
    <col min="134" max="134" width="14.875" style="47" customWidth="1"/>
    <col min="135" max="136" width="14.75" style="47" customWidth="1"/>
    <col min="137" max="139" width="14.375" style="47" customWidth="1"/>
    <col min="140" max="140" width="13" style="47" customWidth="1"/>
    <col min="141" max="143" width="13.25" style="47" customWidth="1"/>
    <col min="144" max="144" width="12.625" style="47" customWidth="1"/>
    <col min="145" max="145" width="14" style="47" customWidth="1"/>
    <col min="146" max="146" width="19.25" style="47" customWidth="1"/>
    <col min="147" max="147" width="18.375" style="47" customWidth="1"/>
    <col min="148" max="148" width="18.5" style="47" customWidth="1"/>
    <col min="149" max="149" width="18.25" style="47" customWidth="1"/>
    <col min="150" max="150" width="19" style="47" customWidth="1"/>
    <col min="151" max="155" width="16.5" style="47" customWidth="1"/>
    <col min="156" max="156" width="31.875" style="47" customWidth="1"/>
    <col min="157" max="157" width="16.5" style="47" customWidth="1"/>
    <col min="158" max="158" width="18.625" style="47" customWidth="1"/>
    <col min="159" max="159" width="18.5" style="47" customWidth="1"/>
    <col min="160" max="160" width="23.875" style="53" customWidth="1"/>
  </cols>
  <sheetData>
    <row r="1" spans="1:185" s="26" customFormat="1" x14ac:dyDescent="0.25">
      <c r="A1" s="82" t="s">
        <v>209</v>
      </c>
      <c r="B1" s="83" t="s">
        <v>158</v>
      </c>
      <c r="C1" s="83" t="s">
        <v>145</v>
      </c>
      <c r="D1" s="84" t="s">
        <v>143</v>
      </c>
      <c r="E1" s="83" t="s">
        <v>0</v>
      </c>
      <c r="F1" s="83" t="s">
        <v>142</v>
      </c>
      <c r="G1" s="134" t="s">
        <v>367</v>
      </c>
      <c r="H1" s="84" t="s">
        <v>118</v>
      </c>
      <c r="I1" s="85" t="s">
        <v>119</v>
      </c>
      <c r="J1" s="84" t="s">
        <v>121</v>
      </c>
      <c r="K1" s="84" t="s">
        <v>1</v>
      </c>
      <c r="L1" s="86" t="s">
        <v>2</v>
      </c>
      <c r="M1" s="86" t="s">
        <v>3</v>
      </c>
      <c r="N1" s="86" t="s">
        <v>4</v>
      </c>
      <c r="O1" s="86" t="s">
        <v>5</v>
      </c>
      <c r="P1" s="86" t="s">
        <v>6</v>
      </c>
      <c r="Q1" s="86" t="s">
        <v>7</v>
      </c>
      <c r="R1" s="86" t="s">
        <v>33</v>
      </c>
      <c r="S1" s="86" t="s">
        <v>34</v>
      </c>
      <c r="T1" s="86" t="s">
        <v>8</v>
      </c>
      <c r="U1" s="86" t="s">
        <v>35</v>
      </c>
      <c r="V1" s="86" t="s">
        <v>36</v>
      </c>
      <c r="W1" s="86" t="s">
        <v>9</v>
      </c>
      <c r="X1" s="86" t="s">
        <v>37</v>
      </c>
      <c r="Y1" s="86" t="s">
        <v>38</v>
      </c>
      <c r="Z1" s="86" t="s">
        <v>10</v>
      </c>
      <c r="AA1" s="86" t="s">
        <v>39</v>
      </c>
      <c r="AB1" s="86" t="s">
        <v>40</v>
      </c>
      <c r="AC1" s="86" t="s">
        <v>11</v>
      </c>
      <c r="AD1" s="86" t="s">
        <v>41</v>
      </c>
      <c r="AE1" s="86" t="s">
        <v>42</v>
      </c>
      <c r="AF1" s="86" t="s">
        <v>43</v>
      </c>
      <c r="AG1" s="86" t="s">
        <v>44</v>
      </c>
      <c r="AH1" s="86" t="s">
        <v>45</v>
      </c>
      <c r="AI1" s="86" t="s">
        <v>12</v>
      </c>
      <c r="AJ1" s="86" t="s">
        <v>13</v>
      </c>
      <c r="AK1" s="86" t="s">
        <v>14</v>
      </c>
      <c r="AL1" s="86" t="s">
        <v>15</v>
      </c>
      <c r="AM1" s="86" t="s">
        <v>16</v>
      </c>
      <c r="AN1" s="86" t="s">
        <v>17</v>
      </c>
      <c r="AO1" s="86" t="s">
        <v>116</v>
      </c>
      <c r="AP1" s="87" t="s">
        <v>20</v>
      </c>
      <c r="AQ1" s="87" t="s">
        <v>21</v>
      </c>
      <c r="AR1" s="84" t="s">
        <v>22</v>
      </c>
      <c r="AS1" s="84" t="s">
        <v>122</v>
      </c>
      <c r="AT1" s="84" t="s">
        <v>123</v>
      </c>
      <c r="AU1" s="88" t="s">
        <v>154</v>
      </c>
      <c r="AV1" s="88" t="s">
        <v>153</v>
      </c>
      <c r="AW1" s="89" t="s">
        <v>152</v>
      </c>
      <c r="AX1" s="89" t="s">
        <v>139</v>
      </c>
      <c r="AY1" s="87" t="s">
        <v>18</v>
      </c>
      <c r="AZ1" s="87" t="s">
        <v>19</v>
      </c>
      <c r="BA1" s="87" t="s">
        <v>23</v>
      </c>
      <c r="BB1" s="90" t="s">
        <v>24</v>
      </c>
      <c r="BC1" s="90" t="s">
        <v>25</v>
      </c>
      <c r="BD1" s="90" t="s">
        <v>26</v>
      </c>
      <c r="BE1" s="90" t="s">
        <v>27</v>
      </c>
      <c r="BF1" s="90" t="s">
        <v>28</v>
      </c>
      <c r="BG1" s="90" t="s">
        <v>114</v>
      </c>
      <c r="BH1" s="90" t="s">
        <v>115</v>
      </c>
      <c r="BI1" s="90" t="s">
        <v>29</v>
      </c>
      <c r="BJ1" s="90" t="s">
        <v>30</v>
      </c>
      <c r="BK1" s="90" t="s">
        <v>31</v>
      </c>
      <c r="BL1" s="90" t="s">
        <v>125</v>
      </c>
      <c r="BM1" s="90" t="s">
        <v>124</v>
      </c>
      <c r="BN1" s="90" t="s">
        <v>32</v>
      </c>
      <c r="BO1" s="83" t="s">
        <v>46</v>
      </c>
      <c r="BP1" s="90" t="s">
        <v>47</v>
      </c>
      <c r="BQ1" s="90" t="s">
        <v>48</v>
      </c>
      <c r="BR1" s="90" t="s">
        <v>117</v>
      </c>
      <c r="BS1" s="90" t="s">
        <v>49</v>
      </c>
      <c r="BT1" s="90" t="s">
        <v>50</v>
      </c>
      <c r="BU1" s="90" t="s">
        <v>51</v>
      </c>
      <c r="BV1" s="90" t="s">
        <v>52</v>
      </c>
      <c r="BW1" s="90" t="s">
        <v>53</v>
      </c>
      <c r="BX1" s="90" t="s">
        <v>54</v>
      </c>
      <c r="BY1" s="91" t="s">
        <v>55</v>
      </c>
      <c r="BZ1" s="83" t="s">
        <v>56</v>
      </c>
      <c r="CA1" s="83" t="s">
        <v>57</v>
      </c>
      <c r="CB1" s="90" t="s">
        <v>58</v>
      </c>
      <c r="CC1" s="90" t="s">
        <v>59</v>
      </c>
      <c r="CD1" s="90" t="s">
        <v>60</v>
      </c>
      <c r="CE1" s="90" t="s">
        <v>61</v>
      </c>
      <c r="CF1" s="90" t="s">
        <v>120</v>
      </c>
      <c r="CG1" s="90" t="s">
        <v>62</v>
      </c>
      <c r="CH1" s="90" t="s">
        <v>63</v>
      </c>
      <c r="CI1" s="90" t="s">
        <v>64</v>
      </c>
      <c r="CJ1" s="90" t="s">
        <v>65</v>
      </c>
      <c r="CK1" s="90" t="s">
        <v>103</v>
      </c>
      <c r="CL1" s="90" t="s">
        <v>104</v>
      </c>
      <c r="CM1" s="90" t="s">
        <v>105</v>
      </c>
      <c r="CN1" s="90" t="s">
        <v>106</v>
      </c>
      <c r="CO1" s="83" t="s">
        <v>107</v>
      </c>
      <c r="CP1" s="92" t="s">
        <v>66</v>
      </c>
      <c r="CQ1" s="23" t="s">
        <v>69</v>
      </c>
      <c r="CR1" s="23" t="s">
        <v>71</v>
      </c>
      <c r="CS1" s="23" t="s">
        <v>70</v>
      </c>
      <c r="CT1" s="23" t="s">
        <v>67</v>
      </c>
      <c r="CU1" s="83" t="s">
        <v>172</v>
      </c>
      <c r="CV1" s="93" t="s">
        <v>254</v>
      </c>
      <c r="CW1" s="106" t="s">
        <v>268</v>
      </c>
      <c r="CX1" s="94" t="s">
        <v>267</v>
      </c>
      <c r="CY1" s="107" t="s">
        <v>269</v>
      </c>
      <c r="CZ1" s="178"/>
      <c r="DA1" s="95" t="s">
        <v>72</v>
      </c>
      <c r="DB1" s="95" t="s">
        <v>73</v>
      </c>
      <c r="DC1" s="84" t="s">
        <v>74</v>
      </c>
      <c r="DD1" s="95" t="s">
        <v>75</v>
      </c>
      <c r="DE1" s="95" t="s">
        <v>76</v>
      </c>
      <c r="DF1" s="95" t="s">
        <v>77</v>
      </c>
      <c r="DG1" s="95" t="s">
        <v>127</v>
      </c>
      <c r="DH1" s="95" t="s">
        <v>126</v>
      </c>
      <c r="DI1" s="95" t="s">
        <v>392</v>
      </c>
      <c r="DJ1" s="95" t="s">
        <v>393</v>
      </c>
      <c r="DK1" s="95" t="s">
        <v>394</v>
      </c>
      <c r="DL1" s="95" t="s">
        <v>395</v>
      </c>
      <c r="DM1" s="95" t="s">
        <v>396</v>
      </c>
      <c r="DN1" s="95" t="s">
        <v>85</v>
      </c>
      <c r="DO1" s="96" t="s">
        <v>101</v>
      </c>
      <c r="DP1" s="96" t="s">
        <v>102</v>
      </c>
      <c r="DQ1" s="95" t="s">
        <v>78</v>
      </c>
      <c r="DR1" s="97" t="s">
        <v>68</v>
      </c>
      <c r="DS1" s="95" t="s">
        <v>79</v>
      </c>
      <c r="DT1" s="95" t="s">
        <v>80</v>
      </c>
      <c r="DU1" s="95" t="s">
        <v>81</v>
      </c>
      <c r="DV1" s="95" t="s">
        <v>82</v>
      </c>
      <c r="DW1" s="95" t="s">
        <v>83</v>
      </c>
      <c r="DX1" s="95" t="s">
        <v>84</v>
      </c>
      <c r="DZ1" s="98" t="s">
        <v>149</v>
      </c>
      <c r="EA1" s="98" t="s">
        <v>91</v>
      </c>
      <c r="EB1" s="98" t="s">
        <v>92</v>
      </c>
      <c r="EC1" s="98" t="s">
        <v>93</v>
      </c>
      <c r="ED1" s="98" t="s">
        <v>94</v>
      </c>
      <c r="EE1" s="99" t="s">
        <v>95</v>
      </c>
      <c r="EF1" s="99" t="s">
        <v>96</v>
      </c>
      <c r="EG1" s="99" t="s">
        <v>97</v>
      </c>
      <c r="EH1" s="99" t="s">
        <v>98</v>
      </c>
      <c r="EI1" s="99" t="s">
        <v>99</v>
      </c>
      <c r="EJ1" s="100" t="s">
        <v>86</v>
      </c>
      <c r="EK1" s="100" t="s">
        <v>87</v>
      </c>
      <c r="EL1" s="100" t="s">
        <v>88</v>
      </c>
      <c r="EM1" s="100" t="s">
        <v>89</v>
      </c>
      <c r="EN1" s="100" t="s">
        <v>90</v>
      </c>
      <c r="EO1" s="101" t="s">
        <v>108</v>
      </c>
      <c r="EP1" s="102" t="s">
        <v>109</v>
      </c>
      <c r="EQ1" s="102" t="s">
        <v>110</v>
      </c>
      <c r="ER1" s="102" t="s">
        <v>111</v>
      </c>
      <c r="ES1" s="102" t="s">
        <v>112</v>
      </c>
      <c r="ET1" s="102" t="s">
        <v>113</v>
      </c>
      <c r="EU1" s="95" t="s">
        <v>132</v>
      </c>
      <c r="EV1" s="95" t="s">
        <v>133</v>
      </c>
      <c r="EW1" s="95" t="s">
        <v>134</v>
      </c>
      <c r="EX1" s="95" t="s">
        <v>135</v>
      </c>
      <c r="EY1" s="95" t="s">
        <v>136</v>
      </c>
      <c r="EZ1" s="95" t="s">
        <v>137</v>
      </c>
      <c r="FA1" s="99" t="s">
        <v>173</v>
      </c>
      <c r="FB1" s="95" t="s">
        <v>100</v>
      </c>
      <c r="FC1" s="84" t="s">
        <v>368</v>
      </c>
      <c r="FD1" s="95" t="s">
        <v>174</v>
      </c>
      <c r="FE1" s="25"/>
    </row>
    <row r="2" spans="1:185" s="24" customFormat="1" x14ac:dyDescent="0.25">
      <c r="A2" s="30" t="s">
        <v>323</v>
      </c>
      <c r="B2" s="31" t="s">
        <v>178</v>
      </c>
      <c r="C2" s="31" t="s">
        <v>156</v>
      </c>
      <c r="D2" s="30" t="str">
        <f t="shared" ref="D2:D38" si="0">IF(DATEDIF(F2,G2,"y")=0," ",DATEDIF(F2,G2,"y")&amp;" Y ")&amp;IF(DATEDIF(F2,G2,"ym")=0,"",DATEDIF(F2,G2,"ym")&amp;" M ")</f>
        <v xml:space="preserve">75 Y 5 M </v>
      </c>
      <c r="E2" s="30">
        <v>1</v>
      </c>
      <c r="F2" s="32">
        <v>13740</v>
      </c>
      <c r="G2" s="179">
        <v>41313</v>
      </c>
      <c r="H2" s="33">
        <v>189.6</v>
      </c>
      <c r="I2" s="33">
        <v>89.6</v>
      </c>
      <c r="J2" s="33">
        <f>IF(E2=1,50+2.3*(H2*0.393701-60),IF(E2=2,45.5+2.3*(H2*0.393701-60)))</f>
        <v>83.685132080000002</v>
      </c>
      <c r="K2" s="34">
        <f t="shared" ref="K2:K18" si="1">I2/((H2/100)*(H2/100))</f>
        <v>24.924780572913885</v>
      </c>
      <c r="L2" s="33"/>
      <c r="M2" s="33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>
        <v>13.5</v>
      </c>
      <c r="AL2" s="30"/>
      <c r="AM2" s="30"/>
      <c r="AN2" s="30"/>
      <c r="AO2" s="30"/>
      <c r="AP2" s="30">
        <v>160</v>
      </c>
      <c r="AQ2" s="30">
        <v>72</v>
      </c>
      <c r="AR2" s="33">
        <f t="shared" ref="AR2:AR18" si="2">((AP2-AQ2)*1/3)+AQ2</f>
        <v>101.33333333333333</v>
      </c>
      <c r="AS2" s="30">
        <f t="shared" ref="AS2:AS18" si="3">(AP2*0.2+AP2)</f>
        <v>192</v>
      </c>
      <c r="AT2" s="30">
        <f t="shared" ref="AT2:AT18" si="4">(AP2-AP2*0.2)</f>
        <v>128</v>
      </c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>
        <v>17</v>
      </c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>
        <v>2200</v>
      </c>
      <c r="CA2" s="30">
        <v>0</v>
      </c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>
        <v>0</v>
      </c>
      <c r="CP2" s="30"/>
      <c r="CQ2" s="30"/>
      <c r="CR2" s="30"/>
      <c r="CS2" s="30"/>
      <c r="CT2" s="30"/>
      <c r="CU2" s="30">
        <v>100</v>
      </c>
      <c r="CV2" s="30">
        <f>BY2+BZ2</f>
        <v>2200</v>
      </c>
      <c r="CW2" s="110">
        <v>0.46527777777777773</v>
      </c>
      <c r="CX2" s="110">
        <v>0.59375</v>
      </c>
      <c r="CY2" s="51">
        <f t="shared" ref="CY2:CY18" si="5">CX2-CW2</f>
        <v>0.12847222222222227</v>
      </c>
      <c r="CZ2" s="55">
        <f>(CY2)*1440</f>
        <v>185.00000000000006</v>
      </c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Z2" s="30">
        <v>12.6</v>
      </c>
      <c r="EA2" s="30"/>
      <c r="EB2" s="30"/>
      <c r="EC2" s="30"/>
      <c r="ED2" s="30"/>
      <c r="EE2" s="30"/>
      <c r="EF2" s="30"/>
      <c r="EG2" s="30"/>
      <c r="EH2" s="30"/>
      <c r="EI2" s="30"/>
      <c r="EJ2" s="30"/>
      <c r="EK2" s="30"/>
      <c r="EL2" s="30"/>
      <c r="EM2" s="30"/>
      <c r="EN2" s="30"/>
      <c r="EO2" s="35"/>
      <c r="EP2" s="30"/>
      <c r="EQ2" s="30"/>
      <c r="ER2" s="30"/>
      <c r="ES2" s="30"/>
      <c r="ET2" s="30"/>
      <c r="EU2" s="30"/>
      <c r="EV2" s="30"/>
      <c r="EW2" s="30"/>
      <c r="EX2" s="30"/>
      <c r="EY2" s="30"/>
      <c r="EZ2" s="30"/>
      <c r="FA2" s="30">
        <v>0</v>
      </c>
      <c r="FB2" s="36">
        <v>41320</v>
      </c>
      <c r="FC2" s="175">
        <f t="shared" ref="FC2:FC18" si="6">(FB2-G2)</f>
        <v>7</v>
      </c>
      <c r="FD2" s="30"/>
    </row>
    <row r="3" spans="1:185" s="24" customFormat="1" x14ac:dyDescent="0.25">
      <c r="A3" s="30" t="s">
        <v>314</v>
      </c>
      <c r="B3" s="31" t="s">
        <v>185</v>
      </c>
      <c r="C3" s="31" t="s">
        <v>156</v>
      </c>
      <c r="D3" s="30" t="str">
        <f t="shared" si="0"/>
        <v xml:space="preserve">43 Y </v>
      </c>
      <c r="E3" s="30">
        <v>1</v>
      </c>
      <c r="F3" s="36">
        <v>25652</v>
      </c>
      <c r="G3" s="179">
        <v>41382</v>
      </c>
      <c r="H3" s="33">
        <v>169.5</v>
      </c>
      <c r="I3" s="33">
        <v>111.9</v>
      </c>
      <c r="J3" s="33">
        <f t="shared" ref="J3:J18" si="7">IF(E3=1,50+2.3*(H3*0.393701-60),IF(E3=2,45.5+2.3*(H3*0.393701-60)))</f>
        <v>65.48433485000001</v>
      </c>
      <c r="K3" s="34">
        <f t="shared" si="1"/>
        <v>38.948495053123452</v>
      </c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3">
        <v>14.1</v>
      </c>
      <c r="AL3" s="30"/>
      <c r="AM3" s="30"/>
      <c r="AN3" s="30"/>
      <c r="AO3" s="30"/>
      <c r="AP3" s="30">
        <v>122</v>
      </c>
      <c r="AQ3" s="30">
        <v>55</v>
      </c>
      <c r="AR3" s="33">
        <f t="shared" si="2"/>
        <v>77.333333333333329</v>
      </c>
      <c r="AS3" s="30">
        <f t="shared" si="3"/>
        <v>146.4</v>
      </c>
      <c r="AT3" s="30">
        <f t="shared" si="4"/>
        <v>97.6</v>
      </c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>
        <v>1</v>
      </c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>
        <v>2900</v>
      </c>
      <c r="CA3" s="30">
        <v>1000</v>
      </c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>
        <v>0</v>
      </c>
      <c r="CP3" s="30"/>
      <c r="CQ3" s="30"/>
      <c r="CR3" s="30"/>
      <c r="CS3" s="30"/>
      <c r="CT3" s="30"/>
      <c r="CU3" s="30">
        <v>750</v>
      </c>
      <c r="CV3" s="30">
        <f t="shared" ref="CV3:CV18" si="8">BZ3</f>
        <v>2900</v>
      </c>
      <c r="CW3" s="110">
        <v>0.7090277777777777</v>
      </c>
      <c r="CX3" s="110">
        <v>0.8125</v>
      </c>
      <c r="CY3" s="51">
        <f t="shared" si="5"/>
        <v>0.1034722222222223</v>
      </c>
      <c r="CZ3" s="55">
        <f t="shared" ref="CZ3:CZ38" si="9">(CY3)*1440</f>
        <v>149.00000000000011</v>
      </c>
      <c r="DA3" s="30"/>
      <c r="DB3" s="30"/>
      <c r="DC3" s="35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Z3" s="33">
        <v>12.2</v>
      </c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>
        <v>0</v>
      </c>
      <c r="FB3" s="36">
        <v>41393</v>
      </c>
      <c r="FC3" s="175">
        <f t="shared" si="6"/>
        <v>11</v>
      </c>
      <c r="FD3" s="30"/>
    </row>
    <row r="4" spans="1:185" s="24" customFormat="1" x14ac:dyDescent="0.25">
      <c r="A4" s="30" t="s">
        <v>309</v>
      </c>
      <c r="B4" s="31" t="s">
        <v>186</v>
      </c>
      <c r="C4" s="31" t="s">
        <v>156</v>
      </c>
      <c r="D4" s="30" t="str">
        <f t="shared" si="0"/>
        <v xml:space="preserve">51 Y 2 M </v>
      </c>
      <c r="E4" s="30">
        <v>2</v>
      </c>
      <c r="F4" s="32">
        <v>22707</v>
      </c>
      <c r="G4" s="179">
        <v>41410</v>
      </c>
      <c r="H4" s="33">
        <v>162.5</v>
      </c>
      <c r="I4" s="33">
        <v>52.8</v>
      </c>
      <c r="J4" s="33">
        <f t="shared" si="7"/>
        <v>54.645748750000003</v>
      </c>
      <c r="K4" s="34">
        <f t="shared" si="1"/>
        <v>19.995266272189347</v>
      </c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3">
        <v>13.1</v>
      </c>
      <c r="AL4" s="30"/>
      <c r="AM4" s="30"/>
      <c r="AN4" s="30"/>
      <c r="AO4" s="30"/>
      <c r="AP4" s="30">
        <v>113</v>
      </c>
      <c r="AQ4" s="30">
        <v>58</v>
      </c>
      <c r="AR4" s="33">
        <f t="shared" si="2"/>
        <v>76.333333333333329</v>
      </c>
      <c r="AS4" s="30">
        <f t="shared" si="3"/>
        <v>135.6</v>
      </c>
      <c r="AT4" s="30">
        <f t="shared" si="4"/>
        <v>90.4</v>
      </c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>
        <v>6</v>
      </c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>
        <v>1800</v>
      </c>
      <c r="CA4" s="30">
        <v>0</v>
      </c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>
        <v>0</v>
      </c>
      <c r="CP4" s="30"/>
      <c r="CQ4" s="30"/>
      <c r="CR4" s="30"/>
      <c r="CS4" s="30"/>
      <c r="CT4" s="30"/>
      <c r="CU4" s="30">
        <v>50</v>
      </c>
      <c r="CV4" s="30">
        <f t="shared" si="8"/>
        <v>1800</v>
      </c>
      <c r="CW4" s="110">
        <v>0.64097222222222217</v>
      </c>
      <c r="CX4" s="110">
        <v>0.69791666666666663</v>
      </c>
      <c r="CY4" s="51">
        <f t="shared" si="5"/>
        <v>5.6944444444444464E-2</v>
      </c>
      <c r="CZ4" s="55">
        <f t="shared" si="9"/>
        <v>82.000000000000028</v>
      </c>
      <c r="DA4" s="30"/>
      <c r="DB4" s="30"/>
      <c r="DC4" s="35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Z4" s="33">
        <v>11</v>
      </c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>
        <v>0</v>
      </c>
      <c r="FB4" s="36">
        <v>41415</v>
      </c>
      <c r="FC4" s="175">
        <f t="shared" si="6"/>
        <v>5</v>
      </c>
      <c r="FD4" s="30"/>
    </row>
    <row r="5" spans="1:185" s="24" customFormat="1" x14ac:dyDescent="0.25">
      <c r="A5" s="30" t="s">
        <v>307</v>
      </c>
      <c r="B5" s="31" t="s">
        <v>187</v>
      </c>
      <c r="C5" s="31" t="s">
        <v>156</v>
      </c>
      <c r="D5" s="30" t="str">
        <f t="shared" si="0"/>
        <v xml:space="preserve">48 Y 11 M </v>
      </c>
      <c r="E5" s="30">
        <v>2</v>
      </c>
      <c r="F5" s="32">
        <v>23526</v>
      </c>
      <c r="G5" s="179">
        <v>41411</v>
      </c>
      <c r="H5" s="33">
        <v>167.5</v>
      </c>
      <c r="I5" s="33">
        <v>109.4</v>
      </c>
      <c r="J5" s="33">
        <f t="shared" si="7"/>
        <v>59.173310250000007</v>
      </c>
      <c r="K5" s="34">
        <f t="shared" si="1"/>
        <v>38.993094230340837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3">
        <v>12.3</v>
      </c>
      <c r="AL5" s="30"/>
      <c r="AM5" s="30"/>
      <c r="AN5" s="30"/>
      <c r="AO5" s="30"/>
      <c r="AP5" s="30">
        <v>140</v>
      </c>
      <c r="AQ5" s="30">
        <v>77</v>
      </c>
      <c r="AR5" s="33">
        <f t="shared" si="2"/>
        <v>98</v>
      </c>
      <c r="AS5" s="30">
        <f t="shared" si="3"/>
        <v>168</v>
      </c>
      <c r="AT5" s="30">
        <f t="shared" si="4"/>
        <v>112</v>
      </c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>
        <v>7</v>
      </c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>
        <v>3400</v>
      </c>
      <c r="CA5" s="30">
        <v>2250</v>
      </c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>
        <v>2</v>
      </c>
      <c r="CP5" s="30"/>
      <c r="CQ5" s="30"/>
      <c r="CR5" s="30"/>
      <c r="CS5" s="30"/>
      <c r="CT5" s="30"/>
      <c r="CU5" s="30">
        <v>1500</v>
      </c>
      <c r="CV5" s="30">
        <f t="shared" si="8"/>
        <v>3400</v>
      </c>
      <c r="CW5" s="110">
        <v>0.5541666666666667</v>
      </c>
      <c r="CX5" s="110">
        <v>0.60416666666666663</v>
      </c>
      <c r="CY5" s="51">
        <f t="shared" si="5"/>
        <v>4.9999999999999933E-2</v>
      </c>
      <c r="CZ5" s="55">
        <f t="shared" si="9"/>
        <v>71.999999999999901</v>
      </c>
      <c r="DA5" s="30"/>
      <c r="DB5" s="30"/>
      <c r="DC5" s="35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Z5" s="33">
        <v>8.9</v>
      </c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>
        <v>0</v>
      </c>
      <c r="FB5" s="36">
        <v>41417</v>
      </c>
      <c r="FC5" s="175">
        <f t="shared" si="6"/>
        <v>6</v>
      </c>
      <c r="FD5" s="30"/>
    </row>
    <row r="6" spans="1:185" s="24" customFormat="1" x14ac:dyDescent="0.25">
      <c r="A6" s="30" t="s">
        <v>305</v>
      </c>
      <c r="B6" s="31" t="s">
        <v>188</v>
      </c>
      <c r="C6" s="31" t="s">
        <v>156</v>
      </c>
      <c r="D6" s="30" t="str">
        <f t="shared" si="0"/>
        <v xml:space="preserve">52 Y 6 M </v>
      </c>
      <c r="E6" s="30">
        <v>2</v>
      </c>
      <c r="F6" s="36">
        <v>22242</v>
      </c>
      <c r="G6" s="179">
        <v>41424</v>
      </c>
      <c r="H6" s="33">
        <v>165.2</v>
      </c>
      <c r="I6" s="33">
        <v>98.9</v>
      </c>
      <c r="J6" s="33">
        <f t="shared" si="7"/>
        <v>57.09063196000001</v>
      </c>
      <c r="K6" s="34">
        <f t="shared" si="1"/>
        <v>36.239000052764581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3">
        <v>11.8</v>
      </c>
      <c r="AL6" s="30"/>
      <c r="AM6" s="30"/>
      <c r="AN6" s="30"/>
      <c r="AO6" s="30"/>
      <c r="AP6" s="30">
        <v>125</v>
      </c>
      <c r="AQ6" s="30">
        <v>77</v>
      </c>
      <c r="AR6" s="33">
        <f t="shared" si="2"/>
        <v>93</v>
      </c>
      <c r="AS6" s="30">
        <f t="shared" si="3"/>
        <v>150</v>
      </c>
      <c r="AT6" s="30">
        <f t="shared" si="4"/>
        <v>100</v>
      </c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>
        <v>8</v>
      </c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>
        <v>1900</v>
      </c>
      <c r="CA6" s="30">
        <v>0</v>
      </c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>
        <v>0</v>
      </c>
      <c r="CP6" s="30"/>
      <c r="CQ6" s="30"/>
      <c r="CR6" s="30"/>
      <c r="CS6" s="30"/>
      <c r="CT6" s="30"/>
      <c r="CU6" s="30">
        <v>350</v>
      </c>
      <c r="CV6" s="30">
        <f t="shared" si="8"/>
        <v>1900</v>
      </c>
      <c r="CW6" s="110">
        <v>0.4375</v>
      </c>
      <c r="CX6" s="110">
        <v>0.51111111111111118</v>
      </c>
      <c r="CY6" s="51">
        <f t="shared" si="5"/>
        <v>7.3611111111111183E-2</v>
      </c>
      <c r="CZ6" s="55">
        <f t="shared" si="9"/>
        <v>106.0000000000001</v>
      </c>
      <c r="DA6" s="30"/>
      <c r="DB6" s="30"/>
      <c r="DC6" s="35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Z6" s="33">
        <v>10.5</v>
      </c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>
        <v>0</v>
      </c>
      <c r="FB6" s="36">
        <v>41428</v>
      </c>
      <c r="FC6" s="175">
        <f t="shared" si="6"/>
        <v>4</v>
      </c>
      <c r="FD6" s="30"/>
    </row>
    <row r="7" spans="1:185" s="24" customFormat="1" x14ac:dyDescent="0.25">
      <c r="A7" s="30" t="s">
        <v>302</v>
      </c>
      <c r="B7" s="31" t="s">
        <v>189</v>
      </c>
      <c r="C7" s="31" t="s">
        <v>156</v>
      </c>
      <c r="D7" s="30" t="str">
        <f t="shared" si="0"/>
        <v xml:space="preserve">45 Y 4 M </v>
      </c>
      <c r="E7" s="30">
        <v>1</v>
      </c>
      <c r="F7" s="32">
        <v>24858</v>
      </c>
      <c r="G7" s="179">
        <v>41437</v>
      </c>
      <c r="H7" s="33">
        <v>175</v>
      </c>
      <c r="I7" s="33">
        <v>107.2</v>
      </c>
      <c r="J7" s="33">
        <f t="shared" si="7"/>
        <v>70.464652500000014</v>
      </c>
      <c r="K7" s="34">
        <f t="shared" si="1"/>
        <v>35.004081632653062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3">
        <v>12.2</v>
      </c>
      <c r="AL7" s="30"/>
      <c r="AM7" s="30"/>
      <c r="AN7" s="30"/>
      <c r="AO7" s="30"/>
      <c r="AP7" s="30">
        <v>147</v>
      </c>
      <c r="AQ7" s="30">
        <v>72</v>
      </c>
      <c r="AR7" s="33">
        <f t="shared" si="2"/>
        <v>97</v>
      </c>
      <c r="AS7" s="30">
        <f t="shared" si="3"/>
        <v>176.4</v>
      </c>
      <c r="AT7" s="30">
        <f t="shared" si="4"/>
        <v>117.6</v>
      </c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>
        <v>45</v>
      </c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>
        <v>5350</v>
      </c>
      <c r="CA7" s="30">
        <v>500</v>
      </c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>
        <v>0</v>
      </c>
      <c r="CP7" s="30"/>
      <c r="CQ7" s="30"/>
      <c r="CR7" s="30"/>
      <c r="CS7" s="30"/>
      <c r="CT7" s="30"/>
      <c r="CU7" s="30">
        <v>500</v>
      </c>
      <c r="CV7" s="30">
        <f t="shared" si="8"/>
        <v>5350</v>
      </c>
      <c r="CW7" s="110">
        <v>0.65625</v>
      </c>
      <c r="CX7" s="110">
        <v>0.77708333333333324</v>
      </c>
      <c r="CY7" s="51">
        <f t="shared" si="5"/>
        <v>0.12083333333333324</v>
      </c>
      <c r="CZ7" s="55">
        <f t="shared" si="9"/>
        <v>173.99999999999986</v>
      </c>
      <c r="DA7" s="30"/>
      <c r="DB7" s="30"/>
      <c r="DC7" s="35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Z7" s="33">
        <v>11.2</v>
      </c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>
        <v>0</v>
      </c>
      <c r="FB7" s="36">
        <v>41454</v>
      </c>
      <c r="FC7" s="175">
        <f t="shared" si="6"/>
        <v>17</v>
      </c>
      <c r="FD7" s="30"/>
    </row>
    <row r="8" spans="1:185" s="24" customFormat="1" x14ac:dyDescent="0.25">
      <c r="A8" s="30" t="s">
        <v>301</v>
      </c>
      <c r="B8" s="31" t="s">
        <v>190</v>
      </c>
      <c r="C8" s="31" t="s">
        <v>156</v>
      </c>
      <c r="D8" s="30" t="str">
        <f t="shared" si="0"/>
        <v xml:space="preserve">52 Y 7 M </v>
      </c>
      <c r="E8" s="30">
        <v>2</v>
      </c>
      <c r="F8" s="32">
        <v>22285</v>
      </c>
      <c r="G8" s="179">
        <v>41493</v>
      </c>
      <c r="H8" s="33">
        <v>174.5</v>
      </c>
      <c r="I8" s="33">
        <v>71.2</v>
      </c>
      <c r="J8" s="33">
        <f t="shared" si="7"/>
        <v>65.511896350000029</v>
      </c>
      <c r="K8" s="34">
        <f t="shared" si="1"/>
        <v>23.382402443329692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3">
        <v>10.4</v>
      </c>
      <c r="AL8" s="30"/>
      <c r="AM8" s="30"/>
      <c r="AN8" s="30"/>
      <c r="AO8" s="30"/>
      <c r="AP8" s="30">
        <v>122</v>
      </c>
      <c r="AQ8" s="30">
        <v>67</v>
      </c>
      <c r="AR8" s="33">
        <f t="shared" si="2"/>
        <v>85.333333333333329</v>
      </c>
      <c r="AS8" s="30">
        <f t="shared" si="3"/>
        <v>146.4</v>
      </c>
      <c r="AT8" s="30">
        <f t="shared" si="4"/>
        <v>97.6</v>
      </c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>
        <v>12</v>
      </c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>
        <v>3500</v>
      </c>
      <c r="CA8" s="30">
        <v>1000</v>
      </c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>
        <v>2</v>
      </c>
      <c r="CP8" s="30"/>
      <c r="CQ8" s="30"/>
      <c r="CR8" s="30"/>
      <c r="CS8" s="30"/>
      <c r="CT8" s="30"/>
      <c r="CU8" s="30">
        <v>1200</v>
      </c>
      <c r="CV8" s="30">
        <f t="shared" si="8"/>
        <v>3500</v>
      </c>
      <c r="CW8" s="110">
        <v>0.56666666666666665</v>
      </c>
      <c r="CX8" s="110">
        <v>0.77083333333333337</v>
      </c>
      <c r="CY8" s="51">
        <f t="shared" si="5"/>
        <v>0.20416666666666672</v>
      </c>
      <c r="CZ8" s="55">
        <f t="shared" si="9"/>
        <v>294.00000000000006</v>
      </c>
      <c r="DA8" s="30"/>
      <c r="DB8" s="30"/>
      <c r="DC8" s="35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Z8" s="33">
        <v>8</v>
      </c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>
        <v>7</v>
      </c>
      <c r="FB8" s="36">
        <v>41507</v>
      </c>
      <c r="FC8" s="175">
        <f t="shared" si="6"/>
        <v>14</v>
      </c>
      <c r="FD8" s="30"/>
    </row>
    <row r="9" spans="1:185" s="24" customFormat="1" x14ac:dyDescent="0.25">
      <c r="A9" s="30" t="s">
        <v>294</v>
      </c>
      <c r="B9" s="31" t="s">
        <v>191</v>
      </c>
      <c r="C9" s="31" t="s">
        <v>156</v>
      </c>
      <c r="D9" s="30" t="str">
        <f t="shared" si="0"/>
        <v xml:space="preserve">55 Y 7 M </v>
      </c>
      <c r="E9" s="30">
        <v>2</v>
      </c>
      <c r="F9" s="32">
        <v>21314</v>
      </c>
      <c r="G9" s="179">
        <v>41641</v>
      </c>
      <c r="H9" s="33">
        <v>167.64</v>
      </c>
      <c r="I9" s="33">
        <v>109.7</v>
      </c>
      <c r="J9" s="33">
        <f t="shared" si="7"/>
        <v>59.300081971999987</v>
      </c>
      <c r="K9" s="34">
        <f t="shared" si="1"/>
        <v>39.034742899605178</v>
      </c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3">
        <v>14.2</v>
      </c>
      <c r="AL9" s="30"/>
      <c r="AM9" s="30"/>
      <c r="AN9" s="30"/>
      <c r="AO9" s="30"/>
      <c r="AP9" s="30">
        <v>136</v>
      </c>
      <c r="AQ9" s="30">
        <v>78</v>
      </c>
      <c r="AR9" s="33">
        <f t="shared" si="2"/>
        <v>97.333333333333329</v>
      </c>
      <c r="AS9" s="30">
        <f t="shared" si="3"/>
        <v>163.19999999999999</v>
      </c>
      <c r="AT9" s="30">
        <f t="shared" si="4"/>
        <v>108.8</v>
      </c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>
        <v>2</v>
      </c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>
        <v>1500</v>
      </c>
      <c r="CA9" s="30">
        <v>0</v>
      </c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>
        <v>0</v>
      </c>
      <c r="CP9" s="30"/>
      <c r="CQ9" s="30"/>
      <c r="CR9" s="30"/>
      <c r="CS9" s="30"/>
      <c r="CT9" s="30"/>
      <c r="CU9" s="30">
        <v>50</v>
      </c>
      <c r="CV9" s="30">
        <f t="shared" si="8"/>
        <v>1500</v>
      </c>
      <c r="CW9" s="110">
        <v>0.45208333333333334</v>
      </c>
      <c r="CX9" s="110">
        <v>0.5</v>
      </c>
      <c r="CY9" s="51">
        <f t="shared" si="5"/>
        <v>4.7916666666666663E-2</v>
      </c>
      <c r="CZ9" s="55">
        <f t="shared" si="9"/>
        <v>69</v>
      </c>
      <c r="DA9" s="30"/>
      <c r="DB9" s="30"/>
      <c r="DC9" s="35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Z9" s="33">
        <v>13.8</v>
      </c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>
        <v>0</v>
      </c>
      <c r="FB9" s="36">
        <v>41648</v>
      </c>
      <c r="FC9" s="175">
        <f t="shared" si="6"/>
        <v>7</v>
      </c>
      <c r="FD9" s="30"/>
    </row>
    <row r="10" spans="1:185" s="24" customFormat="1" x14ac:dyDescent="0.25">
      <c r="A10" s="30" t="s">
        <v>293</v>
      </c>
      <c r="B10" s="31" t="s">
        <v>192</v>
      </c>
      <c r="C10" s="31" t="s">
        <v>156</v>
      </c>
      <c r="D10" s="30" t="str">
        <f t="shared" si="0"/>
        <v xml:space="preserve">65 Y 9 M </v>
      </c>
      <c r="E10" s="30">
        <v>1</v>
      </c>
      <c r="F10" s="32">
        <v>17646</v>
      </c>
      <c r="G10" s="179">
        <v>41662</v>
      </c>
      <c r="H10" s="33">
        <v>166.2</v>
      </c>
      <c r="I10" s="33">
        <v>54.5</v>
      </c>
      <c r="J10" s="33">
        <f t="shared" si="7"/>
        <v>62.496144259999994</v>
      </c>
      <c r="K10" s="34">
        <f t="shared" si="1"/>
        <v>19.730335191243061</v>
      </c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3">
        <v>12.5</v>
      </c>
      <c r="AL10" s="30"/>
      <c r="AM10" s="30"/>
      <c r="AN10" s="30"/>
      <c r="AO10" s="30"/>
      <c r="AP10" s="30">
        <v>111</v>
      </c>
      <c r="AQ10" s="30">
        <v>67</v>
      </c>
      <c r="AR10" s="33">
        <f t="shared" si="2"/>
        <v>81.666666666666671</v>
      </c>
      <c r="AS10" s="30">
        <f t="shared" si="3"/>
        <v>133.19999999999999</v>
      </c>
      <c r="AT10" s="30">
        <f t="shared" si="4"/>
        <v>88.8</v>
      </c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>
        <v>0</v>
      </c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>
        <v>3000</v>
      </c>
      <c r="CA10" s="30">
        <v>500</v>
      </c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>
        <v>0</v>
      </c>
      <c r="CP10" s="30"/>
      <c r="CQ10" s="30"/>
      <c r="CR10" s="30"/>
      <c r="CS10" s="30"/>
      <c r="CT10" s="30"/>
      <c r="CU10" s="30">
        <v>500</v>
      </c>
      <c r="CV10" s="30">
        <f t="shared" si="8"/>
        <v>3000</v>
      </c>
      <c r="CW10" s="110">
        <v>0.4770833333333333</v>
      </c>
      <c r="CX10" s="110">
        <v>0.54652777777777783</v>
      </c>
      <c r="CY10" s="51">
        <f t="shared" si="5"/>
        <v>6.9444444444444531E-2</v>
      </c>
      <c r="CZ10" s="55">
        <f t="shared" si="9"/>
        <v>100.00000000000013</v>
      </c>
      <c r="DA10" s="30"/>
      <c r="DB10" s="30"/>
      <c r="DC10" s="35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Z10" s="33">
        <v>13.1</v>
      </c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>
        <v>0</v>
      </c>
      <c r="FB10" s="36">
        <v>41681</v>
      </c>
      <c r="FC10" s="175">
        <f t="shared" si="6"/>
        <v>19</v>
      </c>
      <c r="FD10" s="30"/>
    </row>
    <row r="11" spans="1:185" s="24" customFormat="1" x14ac:dyDescent="0.25">
      <c r="A11" s="30" t="s">
        <v>290</v>
      </c>
      <c r="B11" s="31" t="s">
        <v>193</v>
      </c>
      <c r="C11" s="31" t="s">
        <v>156</v>
      </c>
      <c r="D11" s="30" t="str">
        <f t="shared" si="0"/>
        <v xml:space="preserve">58 Y 6 M </v>
      </c>
      <c r="E11" s="30">
        <v>2</v>
      </c>
      <c r="F11" s="32">
        <v>20271</v>
      </c>
      <c r="G11" s="179">
        <v>41662</v>
      </c>
      <c r="H11" s="33">
        <v>171.5</v>
      </c>
      <c r="I11" s="33">
        <v>67.099999999999994</v>
      </c>
      <c r="J11" s="33">
        <f t="shared" si="7"/>
        <v>62.795359450000007</v>
      </c>
      <c r="K11" s="34">
        <f t="shared" si="1"/>
        <v>22.813623575211004</v>
      </c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7">
        <v>15.4</v>
      </c>
      <c r="AL11" s="30"/>
      <c r="AM11" s="30"/>
      <c r="AN11" s="30"/>
      <c r="AO11" s="30"/>
      <c r="AP11" s="30">
        <v>147</v>
      </c>
      <c r="AQ11" s="30">
        <v>76</v>
      </c>
      <c r="AR11" s="33">
        <f t="shared" si="2"/>
        <v>99.666666666666671</v>
      </c>
      <c r="AS11" s="30">
        <f t="shared" si="3"/>
        <v>176.4</v>
      </c>
      <c r="AT11" s="30">
        <f t="shared" si="4"/>
        <v>117.6</v>
      </c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>
        <v>45</v>
      </c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>
        <v>2700</v>
      </c>
      <c r="CA11" s="30">
        <v>0</v>
      </c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>
        <v>0</v>
      </c>
      <c r="CP11" s="30"/>
      <c r="CQ11" s="30"/>
      <c r="CR11" s="30"/>
      <c r="CS11" s="30"/>
      <c r="CT11" s="30"/>
      <c r="CU11" s="30">
        <v>300</v>
      </c>
      <c r="CV11" s="30">
        <f t="shared" si="8"/>
        <v>2700</v>
      </c>
      <c r="CW11" s="110">
        <v>0.66666666666666663</v>
      </c>
      <c r="CX11" s="110">
        <v>0.70833333333333337</v>
      </c>
      <c r="CY11" s="51">
        <f t="shared" si="5"/>
        <v>4.1666666666666741E-2</v>
      </c>
      <c r="CZ11" s="55">
        <f t="shared" si="9"/>
        <v>60.000000000000107</v>
      </c>
      <c r="DA11" s="30"/>
      <c r="DB11" s="30"/>
      <c r="DC11" s="35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Z11" s="33">
        <v>14.9</v>
      </c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>
        <v>0</v>
      </c>
      <c r="FB11" s="36">
        <v>41673</v>
      </c>
      <c r="FC11" s="175">
        <f t="shared" si="6"/>
        <v>11</v>
      </c>
      <c r="FD11" s="30"/>
    </row>
    <row r="12" spans="1:185" s="24" customFormat="1" x14ac:dyDescent="0.25">
      <c r="A12" s="30" t="s">
        <v>292</v>
      </c>
      <c r="B12" s="31" t="s">
        <v>194</v>
      </c>
      <c r="C12" s="31" t="s">
        <v>156</v>
      </c>
      <c r="D12" s="30" t="str">
        <f t="shared" si="0"/>
        <v xml:space="preserve">58 Y 1 M </v>
      </c>
      <c r="E12" s="30">
        <v>2</v>
      </c>
      <c r="F12" s="32">
        <v>20436</v>
      </c>
      <c r="G12" s="179">
        <v>41663</v>
      </c>
      <c r="H12" s="33">
        <v>166.3</v>
      </c>
      <c r="I12" s="33">
        <v>100.1</v>
      </c>
      <c r="J12" s="33">
        <f t="shared" si="7"/>
        <v>58.086695490000025</v>
      </c>
      <c r="K12" s="34">
        <f t="shared" si="1"/>
        <v>36.195083181797301</v>
      </c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3">
        <v>16.100000000000001</v>
      </c>
      <c r="AL12" s="30"/>
      <c r="AM12" s="30"/>
      <c r="AN12" s="30"/>
      <c r="AO12" s="30"/>
      <c r="AP12" s="30">
        <v>145</v>
      </c>
      <c r="AQ12" s="30">
        <v>69</v>
      </c>
      <c r="AR12" s="33">
        <f t="shared" si="2"/>
        <v>94.333333333333329</v>
      </c>
      <c r="AS12" s="30">
        <f t="shared" si="3"/>
        <v>174</v>
      </c>
      <c r="AT12" s="30">
        <f t="shared" si="4"/>
        <v>116</v>
      </c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>
        <v>31</v>
      </c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>
        <v>2000</v>
      </c>
      <c r="CA12" s="30">
        <v>0</v>
      </c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>
        <v>0</v>
      </c>
      <c r="CP12" s="30"/>
      <c r="CQ12" s="30"/>
      <c r="CR12" s="30"/>
      <c r="CS12" s="30"/>
      <c r="CT12" s="30"/>
      <c r="CU12" s="30">
        <v>100</v>
      </c>
      <c r="CV12" s="30">
        <f t="shared" si="8"/>
        <v>2000</v>
      </c>
      <c r="CW12" s="110">
        <v>0.5854166666666667</v>
      </c>
      <c r="CX12" s="110">
        <v>0.62152777777777779</v>
      </c>
      <c r="CY12" s="51">
        <f t="shared" si="5"/>
        <v>3.6111111111111094E-2</v>
      </c>
      <c r="CZ12" s="55">
        <f t="shared" si="9"/>
        <v>51.999999999999972</v>
      </c>
      <c r="DA12" s="30"/>
      <c r="DB12" s="30"/>
      <c r="DC12" s="35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Z12" s="33">
        <v>14.6</v>
      </c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>
        <v>0</v>
      </c>
      <c r="FB12" s="36">
        <v>41669</v>
      </c>
      <c r="FC12" s="175">
        <f t="shared" si="6"/>
        <v>6</v>
      </c>
      <c r="FD12" s="30"/>
    </row>
    <row r="13" spans="1:185" s="24" customFormat="1" x14ac:dyDescent="0.25">
      <c r="A13" s="30" t="s">
        <v>291</v>
      </c>
      <c r="B13" s="31" t="s">
        <v>195</v>
      </c>
      <c r="C13" s="31" t="s">
        <v>156</v>
      </c>
      <c r="D13" s="30" t="str">
        <f t="shared" si="0"/>
        <v xml:space="preserve">43 Y 4 M </v>
      </c>
      <c r="E13" s="30">
        <v>2</v>
      </c>
      <c r="F13" s="32">
        <v>25821</v>
      </c>
      <c r="G13" s="179">
        <v>41669</v>
      </c>
      <c r="H13" s="33">
        <v>170.18</v>
      </c>
      <c r="I13" s="33">
        <v>77</v>
      </c>
      <c r="J13" s="33">
        <f t="shared" si="7"/>
        <v>61.600083214000023</v>
      </c>
      <c r="K13" s="34">
        <f t="shared" si="1"/>
        <v>26.587266362325106</v>
      </c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3">
        <v>13.5</v>
      </c>
      <c r="AL13" s="30"/>
      <c r="AM13" s="30"/>
      <c r="AN13" s="30"/>
      <c r="AO13" s="30"/>
      <c r="AP13" s="30">
        <v>131</v>
      </c>
      <c r="AQ13" s="30">
        <v>80</v>
      </c>
      <c r="AR13" s="33">
        <f t="shared" si="2"/>
        <v>97</v>
      </c>
      <c r="AS13" s="30">
        <f t="shared" si="3"/>
        <v>157.19999999999999</v>
      </c>
      <c r="AT13" s="30">
        <f t="shared" si="4"/>
        <v>104.8</v>
      </c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>
        <v>7</v>
      </c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>
        <v>1600</v>
      </c>
      <c r="CA13" s="30">
        <v>0</v>
      </c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>
        <v>0</v>
      </c>
      <c r="CP13" s="30"/>
      <c r="CQ13" s="30"/>
      <c r="CR13" s="30"/>
      <c r="CS13" s="30"/>
      <c r="CT13" s="30"/>
      <c r="CU13" s="30">
        <v>200</v>
      </c>
      <c r="CV13" s="30">
        <f t="shared" si="8"/>
        <v>1600</v>
      </c>
      <c r="CW13" s="110">
        <v>0.56944444444444442</v>
      </c>
      <c r="CX13" s="110">
        <v>0.64236111111111105</v>
      </c>
      <c r="CY13" s="51">
        <f t="shared" si="5"/>
        <v>7.291666666666663E-2</v>
      </c>
      <c r="CZ13" s="55">
        <f t="shared" si="9"/>
        <v>104.99999999999994</v>
      </c>
      <c r="DA13" s="30"/>
      <c r="DB13" s="30"/>
      <c r="DC13" s="35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Z13" s="33">
        <v>12</v>
      </c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>
        <v>0</v>
      </c>
      <c r="FB13" s="36">
        <v>41675</v>
      </c>
      <c r="FC13" s="175">
        <f t="shared" si="6"/>
        <v>6</v>
      </c>
      <c r="FD13" s="30"/>
    </row>
    <row r="14" spans="1:185" s="24" customFormat="1" x14ac:dyDescent="0.25">
      <c r="A14" s="30" t="s">
        <v>287</v>
      </c>
      <c r="B14" s="31" t="s">
        <v>196</v>
      </c>
      <c r="C14" s="31" t="s">
        <v>156</v>
      </c>
      <c r="D14" s="30" t="str">
        <f t="shared" si="0"/>
        <v xml:space="preserve">51 Y 10 M </v>
      </c>
      <c r="E14" s="30">
        <v>2</v>
      </c>
      <c r="F14" s="32">
        <v>22745</v>
      </c>
      <c r="G14" s="179">
        <v>41698</v>
      </c>
      <c r="H14" s="33">
        <v>158</v>
      </c>
      <c r="I14" s="33">
        <v>83.3</v>
      </c>
      <c r="J14" s="33">
        <f t="shared" si="7"/>
        <v>50.570943400000012</v>
      </c>
      <c r="K14" s="34">
        <f t="shared" si="1"/>
        <v>33.368049991988457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7">
        <v>14.1</v>
      </c>
      <c r="AL14" s="30"/>
      <c r="AM14" s="30"/>
      <c r="AN14" s="30"/>
      <c r="AO14" s="30"/>
      <c r="AP14" s="30">
        <v>142</v>
      </c>
      <c r="AQ14" s="30">
        <v>65</v>
      </c>
      <c r="AR14" s="33">
        <f t="shared" si="2"/>
        <v>90.666666666666671</v>
      </c>
      <c r="AS14" s="30">
        <f t="shared" si="3"/>
        <v>170.4</v>
      </c>
      <c r="AT14" s="30">
        <f t="shared" si="4"/>
        <v>113.6</v>
      </c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>
        <v>27</v>
      </c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>
        <v>1600</v>
      </c>
      <c r="CA14" s="30">
        <v>250</v>
      </c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0</v>
      </c>
      <c r="CP14" s="30"/>
      <c r="CQ14" s="30"/>
      <c r="CR14" s="30"/>
      <c r="CS14" s="30"/>
      <c r="CT14" s="30"/>
      <c r="CU14" s="30">
        <v>50</v>
      </c>
      <c r="CV14" s="30">
        <f t="shared" si="8"/>
        <v>1600</v>
      </c>
      <c r="CW14" s="110">
        <v>0.47569444444444442</v>
      </c>
      <c r="CX14" s="110">
        <v>0.52777777777777779</v>
      </c>
      <c r="CY14" s="51">
        <f t="shared" si="5"/>
        <v>5.208333333333337E-2</v>
      </c>
      <c r="CZ14" s="55">
        <f t="shared" si="9"/>
        <v>75.000000000000057</v>
      </c>
      <c r="DA14" s="30"/>
      <c r="DB14" s="30"/>
      <c r="DC14" s="35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Z14" s="37">
        <v>12.4</v>
      </c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>
        <v>0</v>
      </c>
      <c r="FB14" s="36">
        <v>41704</v>
      </c>
      <c r="FC14" s="175">
        <f t="shared" si="6"/>
        <v>6</v>
      </c>
      <c r="FD14" s="30"/>
    </row>
    <row r="15" spans="1:185" s="24" customFormat="1" x14ac:dyDescent="0.25">
      <c r="A15" s="30" t="s">
        <v>276</v>
      </c>
      <c r="B15" s="38" t="s">
        <v>201</v>
      </c>
      <c r="C15" s="38" t="s">
        <v>156</v>
      </c>
      <c r="D15" s="30" t="str">
        <f t="shared" si="0"/>
        <v xml:space="preserve">61 Y 11 M </v>
      </c>
      <c r="E15" s="30">
        <v>2</v>
      </c>
      <c r="F15" s="36">
        <v>19130</v>
      </c>
      <c r="G15" s="39">
        <v>41747</v>
      </c>
      <c r="H15" s="33">
        <v>168</v>
      </c>
      <c r="I15" s="33">
        <v>78.3</v>
      </c>
      <c r="J15" s="33">
        <f t="shared" si="7"/>
        <v>59.626066399999999</v>
      </c>
      <c r="K15" s="34">
        <f t="shared" si="1"/>
        <v>27.742346938775512</v>
      </c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3">
        <v>12.5</v>
      </c>
      <c r="AL15" s="30"/>
      <c r="AM15" s="30"/>
      <c r="AN15" s="30"/>
      <c r="AO15" s="30"/>
      <c r="AP15" s="30">
        <v>135</v>
      </c>
      <c r="AQ15" s="30">
        <v>75</v>
      </c>
      <c r="AR15" s="33">
        <f t="shared" si="2"/>
        <v>95</v>
      </c>
      <c r="AS15" s="30">
        <f t="shared" si="3"/>
        <v>162</v>
      </c>
      <c r="AT15" s="30">
        <f t="shared" si="4"/>
        <v>108</v>
      </c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 t="s">
        <v>252</v>
      </c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40">
        <v>4150</v>
      </c>
      <c r="CA15" s="30">
        <v>0</v>
      </c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0</v>
      </c>
      <c r="CP15" s="30"/>
      <c r="CQ15" s="30"/>
      <c r="CR15" s="30"/>
      <c r="CS15" s="30"/>
      <c r="CT15" s="30"/>
      <c r="CU15" s="30">
        <v>800</v>
      </c>
      <c r="CV15" s="30">
        <f t="shared" si="8"/>
        <v>4150</v>
      </c>
      <c r="CW15" s="110">
        <v>0.58611111111111114</v>
      </c>
      <c r="CX15" s="110">
        <v>0.63541666666666663</v>
      </c>
      <c r="CY15" s="51">
        <f t="shared" si="5"/>
        <v>4.9305555555555491E-2</v>
      </c>
      <c r="CZ15" s="55">
        <f t="shared" si="9"/>
        <v>70.999999999999915</v>
      </c>
      <c r="DA15" s="30"/>
      <c r="DB15" s="30"/>
      <c r="DC15" s="35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>
        <v>0</v>
      </c>
      <c r="DS15" s="30">
        <v>0</v>
      </c>
      <c r="DT15" s="30">
        <v>0</v>
      </c>
      <c r="DU15" s="30">
        <v>0</v>
      </c>
      <c r="DV15" s="30">
        <v>0</v>
      </c>
      <c r="DW15" s="30">
        <v>3</v>
      </c>
      <c r="DX15" s="30">
        <v>0</v>
      </c>
      <c r="DZ15" s="33">
        <v>9.1</v>
      </c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>
        <v>0</v>
      </c>
      <c r="FB15" s="36">
        <v>41753</v>
      </c>
      <c r="FC15" s="175">
        <f t="shared" si="6"/>
        <v>6</v>
      </c>
      <c r="FD15" s="30"/>
      <c r="FE15" s="30"/>
    </row>
    <row r="16" spans="1:185" s="41" customFormat="1" ht="16.5" customHeight="1" x14ac:dyDescent="0.25">
      <c r="A16" s="30" t="s">
        <v>274</v>
      </c>
      <c r="B16" s="38" t="s">
        <v>204</v>
      </c>
      <c r="C16" s="38" t="s">
        <v>156</v>
      </c>
      <c r="D16" s="30" t="str">
        <f t="shared" si="0"/>
        <v xml:space="preserve">62 Y 8 M </v>
      </c>
      <c r="E16" s="30">
        <v>2</v>
      </c>
      <c r="F16" s="36">
        <v>18843</v>
      </c>
      <c r="G16" s="39">
        <v>41760</v>
      </c>
      <c r="H16" s="33">
        <v>157</v>
      </c>
      <c r="I16" s="33">
        <v>66.400000000000006</v>
      </c>
      <c r="J16" s="33">
        <f t="shared" si="7"/>
        <v>49.665431100000013</v>
      </c>
      <c r="K16" s="34">
        <f t="shared" si="1"/>
        <v>26.938212503549842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3">
        <v>13</v>
      </c>
      <c r="AL16" s="30"/>
      <c r="AM16" s="30"/>
      <c r="AN16" s="30"/>
      <c r="AO16" s="30"/>
      <c r="AP16" s="30">
        <v>129</v>
      </c>
      <c r="AQ16" s="30">
        <v>79</v>
      </c>
      <c r="AR16" s="33">
        <f t="shared" si="2"/>
        <v>95.666666666666671</v>
      </c>
      <c r="AS16" s="30">
        <f t="shared" si="3"/>
        <v>154.80000000000001</v>
      </c>
      <c r="AT16" s="30">
        <f t="shared" si="4"/>
        <v>103.2</v>
      </c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 t="s">
        <v>252</v>
      </c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40">
        <v>3900</v>
      </c>
      <c r="CA16" s="30">
        <v>0</v>
      </c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>
        <v>0</v>
      </c>
      <c r="CP16" s="30"/>
      <c r="CQ16" s="30"/>
      <c r="CR16" s="30"/>
      <c r="CS16" s="30"/>
      <c r="CT16" s="30"/>
      <c r="CU16" s="30">
        <v>500</v>
      </c>
      <c r="CV16" s="30">
        <f t="shared" si="8"/>
        <v>3900</v>
      </c>
      <c r="CW16" s="110">
        <v>0.55625000000000002</v>
      </c>
      <c r="CX16" s="110">
        <v>0.625</v>
      </c>
      <c r="CY16" s="51">
        <f t="shared" si="5"/>
        <v>6.8749999999999978E-2</v>
      </c>
      <c r="CZ16" s="55">
        <f t="shared" si="9"/>
        <v>98.999999999999972</v>
      </c>
      <c r="DA16" s="30"/>
      <c r="DB16" s="30"/>
      <c r="DC16" s="35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>
        <v>7</v>
      </c>
      <c r="DS16" s="30">
        <v>7</v>
      </c>
      <c r="DT16" s="30">
        <v>0</v>
      </c>
      <c r="DU16" s="30">
        <v>7</v>
      </c>
      <c r="DV16" s="30">
        <v>0</v>
      </c>
      <c r="DW16" s="30">
        <v>0</v>
      </c>
      <c r="DX16" s="30">
        <v>4</v>
      </c>
      <c r="DZ16" s="33">
        <v>9</v>
      </c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>
        <v>0</v>
      </c>
      <c r="FB16" s="36">
        <v>41769</v>
      </c>
      <c r="FC16" s="175">
        <f t="shared" si="6"/>
        <v>9</v>
      </c>
      <c r="FD16" s="30"/>
      <c r="FE16" s="30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</row>
    <row r="17" spans="1:177" s="24" customFormat="1" x14ac:dyDescent="0.25">
      <c r="A17" s="30" t="s">
        <v>273</v>
      </c>
      <c r="B17" s="38" t="s">
        <v>205</v>
      </c>
      <c r="C17" s="38" t="s">
        <v>156</v>
      </c>
      <c r="D17" s="30" t="str">
        <f t="shared" si="0"/>
        <v xml:space="preserve">46 Y 7 M </v>
      </c>
      <c r="E17" s="30">
        <v>1</v>
      </c>
      <c r="F17" s="36">
        <v>24730</v>
      </c>
      <c r="G17" s="39">
        <v>41768</v>
      </c>
      <c r="H17" s="33">
        <v>172.7</v>
      </c>
      <c r="I17" s="33">
        <v>66.099999999999994</v>
      </c>
      <c r="J17" s="33">
        <f t="shared" si="7"/>
        <v>68.381974209999981</v>
      </c>
      <c r="K17" s="34">
        <f t="shared" si="1"/>
        <v>22.162399762081108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3">
        <v>12.8</v>
      </c>
      <c r="AL17" s="30"/>
      <c r="AM17" s="30"/>
      <c r="AN17" s="30"/>
      <c r="AO17" s="30"/>
      <c r="AP17" s="30">
        <v>121</v>
      </c>
      <c r="AQ17" s="30">
        <v>76</v>
      </c>
      <c r="AR17" s="33">
        <f t="shared" si="2"/>
        <v>91</v>
      </c>
      <c r="AS17" s="30">
        <f t="shared" si="3"/>
        <v>145.19999999999999</v>
      </c>
      <c r="AT17" s="30">
        <f t="shared" si="4"/>
        <v>96.8</v>
      </c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 t="s">
        <v>252</v>
      </c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40">
        <v>5800</v>
      </c>
      <c r="CA17" s="30">
        <v>750</v>
      </c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>
        <v>0</v>
      </c>
      <c r="CP17" s="30"/>
      <c r="CQ17" s="30"/>
      <c r="CR17" s="30"/>
      <c r="CS17" s="30"/>
      <c r="CT17" s="30"/>
      <c r="CU17" s="30">
        <v>1400</v>
      </c>
      <c r="CV17" s="30">
        <f t="shared" si="8"/>
        <v>5800</v>
      </c>
      <c r="CW17" s="110">
        <v>0.5131944444444444</v>
      </c>
      <c r="CX17" s="110">
        <v>0.61805555555555558</v>
      </c>
      <c r="CY17" s="51">
        <f t="shared" si="5"/>
        <v>0.10486111111111118</v>
      </c>
      <c r="CZ17" s="55">
        <f t="shared" si="9"/>
        <v>151.00000000000011</v>
      </c>
      <c r="DA17" s="30"/>
      <c r="DB17" s="30"/>
      <c r="DC17" s="35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>
        <v>8</v>
      </c>
      <c r="DS17" s="30">
        <v>8</v>
      </c>
      <c r="DT17" s="30">
        <v>9</v>
      </c>
      <c r="DU17" s="30">
        <v>3</v>
      </c>
      <c r="DV17" s="30">
        <v>9</v>
      </c>
      <c r="DW17" s="30">
        <v>8</v>
      </c>
      <c r="DX17" s="30">
        <v>8</v>
      </c>
      <c r="DZ17" s="33">
        <v>9.4</v>
      </c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>
        <v>0</v>
      </c>
      <c r="FB17" s="36">
        <v>41775</v>
      </c>
      <c r="FC17" s="175">
        <f t="shared" si="6"/>
        <v>7</v>
      </c>
      <c r="FD17" s="30"/>
      <c r="FE17" s="30"/>
    </row>
    <row r="18" spans="1:177" s="24" customFormat="1" x14ac:dyDescent="0.25">
      <c r="A18" s="30" t="s">
        <v>282</v>
      </c>
      <c r="B18" s="42" t="s">
        <v>206</v>
      </c>
      <c r="C18" s="43" t="s">
        <v>156</v>
      </c>
      <c r="D18" s="30" t="str">
        <f t="shared" si="0"/>
        <v xml:space="preserve">59 Y 11 M </v>
      </c>
      <c r="E18" s="30">
        <v>1</v>
      </c>
      <c r="F18" s="36">
        <v>19873</v>
      </c>
      <c r="G18" s="44">
        <v>41781</v>
      </c>
      <c r="H18" s="33">
        <v>175.3</v>
      </c>
      <c r="I18" s="33">
        <v>85.275999999999996</v>
      </c>
      <c r="J18" s="33">
        <f t="shared" si="7"/>
        <v>70.736306190000008</v>
      </c>
      <c r="K18" s="34">
        <f t="shared" si="1"/>
        <v>27.750000081353484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3">
        <v>16.5</v>
      </c>
      <c r="AL18" s="30"/>
      <c r="AM18" s="30"/>
      <c r="AN18" s="30"/>
      <c r="AO18" s="30"/>
      <c r="AP18" s="30">
        <v>130</v>
      </c>
      <c r="AQ18" s="30">
        <v>71</v>
      </c>
      <c r="AR18" s="33">
        <f t="shared" si="2"/>
        <v>90.666666666666671</v>
      </c>
      <c r="AS18" s="30">
        <f t="shared" si="3"/>
        <v>156</v>
      </c>
      <c r="AT18" s="30">
        <f t="shared" si="4"/>
        <v>104</v>
      </c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 t="s">
        <v>252</v>
      </c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40">
        <v>3500</v>
      </c>
      <c r="CA18" s="30">
        <v>0</v>
      </c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>
        <v>0</v>
      </c>
      <c r="CP18" s="30"/>
      <c r="CQ18" s="30"/>
      <c r="CR18" s="30"/>
      <c r="CS18" s="30"/>
      <c r="CT18" s="30"/>
      <c r="CU18" s="30">
        <v>150</v>
      </c>
      <c r="CV18" s="30">
        <f t="shared" si="8"/>
        <v>3500</v>
      </c>
      <c r="CW18" s="110">
        <v>0.67013888888888884</v>
      </c>
      <c r="CX18" s="110">
        <v>0.73958333333333337</v>
      </c>
      <c r="CY18" s="51">
        <f t="shared" si="5"/>
        <v>6.9444444444444531E-2</v>
      </c>
      <c r="CZ18" s="55">
        <f t="shared" si="9"/>
        <v>100.00000000000013</v>
      </c>
      <c r="DA18" s="30"/>
      <c r="DB18" s="30"/>
      <c r="DC18" s="35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>
        <v>0</v>
      </c>
      <c r="DS18" s="30">
        <v>2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Z18" s="33">
        <v>14.5</v>
      </c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>
        <v>0</v>
      </c>
      <c r="FB18" s="36">
        <v>41794</v>
      </c>
      <c r="FC18" s="175">
        <f t="shared" si="6"/>
        <v>13</v>
      </c>
      <c r="FD18" s="30"/>
      <c r="FE18" s="30"/>
    </row>
    <row r="19" spans="1:177" s="24" customFormat="1" x14ac:dyDescent="0.25">
      <c r="A19" s="30"/>
      <c r="B19" s="38"/>
      <c r="C19" s="43"/>
      <c r="D19" s="30"/>
      <c r="E19" s="30"/>
      <c r="F19" s="36"/>
      <c r="G19" s="39"/>
      <c r="H19" s="33"/>
      <c r="I19" s="33"/>
      <c r="J19" s="33"/>
      <c r="K19" s="34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3"/>
      <c r="AL19" s="30"/>
      <c r="AM19" s="30"/>
      <c r="AN19" s="30"/>
      <c r="AO19" s="30"/>
      <c r="AP19" s="30"/>
      <c r="AQ19" s="30"/>
      <c r="AR19" s="33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4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110"/>
      <c r="CX19" s="110"/>
      <c r="CY19" s="51"/>
      <c r="CZ19" s="55"/>
      <c r="DA19" s="30"/>
      <c r="DB19" s="30"/>
      <c r="DC19" s="35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Z19" s="33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6"/>
      <c r="FC19" s="175"/>
      <c r="FD19" s="30"/>
      <c r="FE19" s="30"/>
    </row>
    <row r="20" spans="1:177" s="1" customFormat="1" x14ac:dyDescent="0.25">
      <c r="A20" s="115" t="s">
        <v>331</v>
      </c>
      <c r="B20" s="46">
        <v>100008666438</v>
      </c>
      <c r="C20" s="45" t="s">
        <v>156</v>
      </c>
      <c r="D20" s="47" t="str">
        <f t="shared" si="0"/>
        <v xml:space="preserve">63 Y 6 M </v>
      </c>
      <c r="E20" s="47">
        <v>1</v>
      </c>
      <c r="F20" s="48">
        <v>18630</v>
      </c>
      <c r="G20" s="48">
        <v>41830</v>
      </c>
      <c r="H20" s="49">
        <v>173.5</v>
      </c>
      <c r="I20" s="49">
        <v>76.3</v>
      </c>
      <c r="J20" s="47">
        <v>69.099999999999994</v>
      </c>
      <c r="K20" s="47">
        <v>25.36</v>
      </c>
      <c r="L20" s="47">
        <v>1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47">
        <v>0</v>
      </c>
      <c r="X20" s="47">
        <v>0</v>
      </c>
      <c r="Y20" s="49">
        <v>0</v>
      </c>
      <c r="Z20" s="47">
        <v>0</v>
      </c>
      <c r="AA20" s="47">
        <v>0</v>
      </c>
      <c r="AB20" s="47">
        <v>0</v>
      </c>
      <c r="AC20" s="47">
        <v>0</v>
      </c>
      <c r="AD20" s="47">
        <v>0</v>
      </c>
      <c r="AE20" s="47">
        <v>0</v>
      </c>
      <c r="AF20" s="47">
        <v>1</v>
      </c>
      <c r="AG20" s="47">
        <v>2</v>
      </c>
      <c r="AH20" s="47">
        <v>20</v>
      </c>
      <c r="AI20" s="47"/>
      <c r="AJ20" s="47"/>
      <c r="AK20" s="49">
        <v>15.3</v>
      </c>
      <c r="AL20" s="47">
        <v>46.4</v>
      </c>
      <c r="AM20" s="47">
        <v>1.33</v>
      </c>
      <c r="AN20" s="47">
        <v>54</v>
      </c>
      <c r="AO20" s="47"/>
      <c r="AP20" s="49">
        <v>106</v>
      </c>
      <c r="AQ20" s="49">
        <v>64</v>
      </c>
      <c r="AR20" s="49">
        <v>78</v>
      </c>
      <c r="AS20" s="49">
        <v>127</v>
      </c>
      <c r="AT20" s="49">
        <v>81</v>
      </c>
      <c r="AU20" s="50">
        <v>0.31180555555555556</v>
      </c>
      <c r="AV20" s="50">
        <v>0.31666666666666665</v>
      </c>
      <c r="AW20" s="51">
        <v>0.4458333333333333</v>
      </c>
      <c r="AX20" s="47"/>
      <c r="AY20" s="47">
        <v>8</v>
      </c>
      <c r="AZ20" s="47">
        <v>1</v>
      </c>
      <c r="BA20" s="47">
        <v>1000</v>
      </c>
      <c r="BB20" s="47">
        <v>113</v>
      </c>
      <c r="BC20" s="47">
        <v>72</v>
      </c>
      <c r="BD20" s="47">
        <v>83</v>
      </c>
      <c r="BE20" s="47">
        <v>76</v>
      </c>
      <c r="BF20" s="47">
        <v>1</v>
      </c>
      <c r="BG20" s="47">
        <v>120</v>
      </c>
      <c r="BH20" s="47">
        <v>100</v>
      </c>
      <c r="BI20" s="47">
        <v>0.5</v>
      </c>
      <c r="BJ20" s="47">
        <v>10</v>
      </c>
      <c r="BK20" s="47">
        <v>63</v>
      </c>
      <c r="BL20" s="47">
        <v>36</v>
      </c>
      <c r="BM20" s="47">
        <v>45</v>
      </c>
      <c r="BN20" s="47">
        <v>3</v>
      </c>
      <c r="BO20" s="47">
        <v>1</v>
      </c>
      <c r="BP20" s="47">
        <v>0.2</v>
      </c>
      <c r="BQ20" s="47">
        <v>0</v>
      </c>
      <c r="BR20" s="47">
        <v>0</v>
      </c>
      <c r="BS20" s="47">
        <v>640</v>
      </c>
      <c r="BT20" s="47">
        <v>0</v>
      </c>
      <c r="BU20" s="47">
        <v>0</v>
      </c>
      <c r="BV20" s="47">
        <v>0</v>
      </c>
      <c r="BW20" s="47">
        <v>100</v>
      </c>
      <c r="BX20" s="47">
        <v>0</v>
      </c>
      <c r="BY20" s="47">
        <v>937.2</v>
      </c>
      <c r="BZ20" s="47">
        <v>1200</v>
      </c>
      <c r="CA20" s="47">
        <v>0</v>
      </c>
      <c r="CB20" s="47">
        <v>14</v>
      </c>
      <c r="CC20" s="47">
        <v>16</v>
      </c>
      <c r="CD20" s="47"/>
      <c r="CE20" s="47"/>
      <c r="CF20" s="47"/>
      <c r="CG20" s="47"/>
      <c r="CH20" s="47"/>
      <c r="CI20" s="47"/>
      <c r="CJ20" s="47">
        <v>13</v>
      </c>
      <c r="CK20" s="47"/>
      <c r="CL20" s="47"/>
      <c r="CM20" s="47"/>
      <c r="CN20" s="47"/>
      <c r="CO20" s="47">
        <v>0</v>
      </c>
      <c r="CP20" s="47">
        <v>1</v>
      </c>
      <c r="CQ20" s="47">
        <v>1</v>
      </c>
      <c r="CR20" s="47">
        <v>125</v>
      </c>
      <c r="CS20" s="47">
        <v>0</v>
      </c>
      <c r="CT20" s="47">
        <v>0</v>
      </c>
      <c r="CU20" s="47">
        <v>100</v>
      </c>
      <c r="CV20" s="47">
        <f t="shared" ref="CV20:CV38" si="10">SUM(BY20:BZ20)</f>
        <v>2137.1999999999998</v>
      </c>
      <c r="CW20" s="230">
        <v>0.44166666666666665</v>
      </c>
      <c r="CX20" s="230">
        <v>0.49374999999999997</v>
      </c>
      <c r="CY20" s="51">
        <f>CX20-CW20</f>
        <v>5.2083333333333315E-2</v>
      </c>
      <c r="CZ20" s="55">
        <f t="shared" si="9"/>
        <v>74.999999999999972</v>
      </c>
      <c r="DA20" s="47">
        <v>121</v>
      </c>
      <c r="DB20" s="47">
        <v>67</v>
      </c>
      <c r="DC20" s="49">
        <v>85</v>
      </c>
      <c r="DD20" s="47">
        <v>103</v>
      </c>
      <c r="DE20" s="47">
        <v>2</v>
      </c>
      <c r="DF20" s="47">
        <v>1</v>
      </c>
      <c r="DG20" s="47">
        <v>1</v>
      </c>
      <c r="DH20" s="47">
        <v>3</v>
      </c>
      <c r="DI20" s="47"/>
      <c r="DJ20" s="47"/>
      <c r="DK20" s="47"/>
      <c r="DL20" s="47"/>
      <c r="DM20" s="47"/>
      <c r="DN20" s="47">
        <v>2</v>
      </c>
      <c r="DO20" s="47"/>
      <c r="DP20" s="47"/>
      <c r="DQ20" s="47">
        <v>5</v>
      </c>
      <c r="DR20" s="47">
        <v>6</v>
      </c>
      <c r="DS20" s="47">
        <v>0</v>
      </c>
      <c r="DT20" s="47">
        <v>5</v>
      </c>
      <c r="DU20" s="47">
        <v>3</v>
      </c>
      <c r="DV20" s="47">
        <v>3</v>
      </c>
      <c r="DW20" s="47">
        <v>5</v>
      </c>
      <c r="DX20" s="47">
        <v>4</v>
      </c>
      <c r="DZ20" s="47">
        <v>12.2</v>
      </c>
      <c r="EA20" s="47">
        <v>12.4</v>
      </c>
      <c r="EB20" s="47">
        <v>12.1</v>
      </c>
      <c r="EC20" s="47">
        <v>12.1</v>
      </c>
      <c r="ED20" s="47">
        <v>11.7</v>
      </c>
      <c r="EE20" s="47">
        <v>35.200000000000003</v>
      </c>
      <c r="EF20" s="47">
        <v>35.9</v>
      </c>
      <c r="EG20" s="47">
        <v>37.1</v>
      </c>
      <c r="EH20" s="47">
        <v>34.799999999999997</v>
      </c>
      <c r="EI20" s="52">
        <v>33.200000000000003</v>
      </c>
      <c r="EJ20" s="47">
        <v>1.1100000000000001</v>
      </c>
      <c r="EK20" s="47">
        <v>1.1100000000000001</v>
      </c>
      <c r="EL20" s="47">
        <v>0.94</v>
      </c>
      <c r="EM20" s="47">
        <v>0.96</v>
      </c>
      <c r="EN20" s="47">
        <v>0.89</v>
      </c>
      <c r="EO20" s="47"/>
      <c r="EP20" s="47">
        <v>136</v>
      </c>
      <c r="EQ20" s="47">
        <v>139</v>
      </c>
      <c r="ER20" s="47">
        <v>139</v>
      </c>
      <c r="ES20" s="47">
        <v>138</v>
      </c>
      <c r="ET20" s="47">
        <v>138</v>
      </c>
      <c r="EU20" s="47"/>
      <c r="EV20" s="47">
        <v>1</v>
      </c>
      <c r="EW20" s="47"/>
      <c r="EX20" s="47"/>
      <c r="EY20" s="47"/>
      <c r="EZ20" s="47"/>
      <c r="FA20" s="47">
        <v>0</v>
      </c>
      <c r="FB20" s="48">
        <v>41836</v>
      </c>
      <c r="FC20" s="55">
        <v>6</v>
      </c>
      <c r="FD20" s="47"/>
      <c r="FI20" s="25"/>
    </row>
    <row r="21" spans="1:177" s="1" customFormat="1" x14ac:dyDescent="0.25">
      <c r="A21" s="92" t="s">
        <v>332</v>
      </c>
      <c r="B21" s="46">
        <v>100034094787</v>
      </c>
      <c r="C21" s="54" t="s">
        <v>156</v>
      </c>
      <c r="D21" s="47" t="str">
        <f t="shared" si="0"/>
        <v xml:space="preserve">64 Y 6 M </v>
      </c>
      <c r="E21" s="47">
        <v>1</v>
      </c>
      <c r="F21" s="48">
        <v>18269</v>
      </c>
      <c r="G21" s="48">
        <v>41844</v>
      </c>
      <c r="H21" s="49">
        <v>185.4</v>
      </c>
      <c r="I21" s="49">
        <v>98</v>
      </c>
      <c r="J21" s="49">
        <f t="shared" ref="J21:J38" si="11">IF(E21=1,50+2.3*(H21*0.393701-60),IF(E21=2,45.5+2.3*(H21*0.393701-60)))</f>
        <v>79.881980420000005</v>
      </c>
      <c r="K21" s="7">
        <f t="shared" ref="K21:K38" si="12">I21/((H21/100)*(H21/100))</f>
        <v>28.510617004662937</v>
      </c>
      <c r="L21" s="47">
        <v>2</v>
      </c>
      <c r="M21" s="47">
        <v>0</v>
      </c>
      <c r="N21" s="47">
        <v>1</v>
      </c>
      <c r="O21" s="47">
        <v>0</v>
      </c>
      <c r="P21" s="47">
        <v>0</v>
      </c>
      <c r="Q21" s="47">
        <v>0</v>
      </c>
      <c r="R21" s="47">
        <v>0</v>
      </c>
      <c r="S21" s="47">
        <v>0</v>
      </c>
      <c r="T21" s="47">
        <v>0</v>
      </c>
      <c r="U21" s="47">
        <v>0</v>
      </c>
      <c r="V21" s="47">
        <v>0</v>
      </c>
      <c r="W21" s="47">
        <v>0</v>
      </c>
      <c r="X21" s="47">
        <v>0</v>
      </c>
      <c r="Y21" s="49">
        <v>0</v>
      </c>
      <c r="Z21" s="47">
        <v>1</v>
      </c>
      <c r="AA21" s="47">
        <v>1</v>
      </c>
      <c r="AB21" s="47">
        <v>5</v>
      </c>
      <c r="AC21" s="47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/>
      <c r="AJ21" s="47"/>
      <c r="AK21" s="49">
        <v>14.5</v>
      </c>
      <c r="AL21" s="47">
        <v>43.9</v>
      </c>
      <c r="AM21" s="47">
        <v>0.97</v>
      </c>
      <c r="AN21" s="47" t="s">
        <v>128</v>
      </c>
      <c r="AO21" s="47"/>
      <c r="AP21" s="49">
        <v>126</v>
      </c>
      <c r="AQ21" s="49">
        <v>80</v>
      </c>
      <c r="AR21" s="49">
        <f t="shared" ref="AR21:AR37" si="13">((AP21-AQ21)*1/3)+AQ21</f>
        <v>95.333333333333329</v>
      </c>
      <c r="AS21" s="49">
        <f t="shared" ref="AS21:AS37" si="14">(AP21*0.2+AP21)</f>
        <v>151.19999999999999</v>
      </c>
      <c r="AT21" s="49">
        <f t="shared" ref="AT21:AT37" si="15">(AP21-AP21*0.2)</f>
        <v>100.8</v>
      </c>
      <c r="AU21" s="50">
        <v>0.31180555555555556</v>
      </c>
      <c r="AV21" s="50">
        <v>0.31944444444444448</v>
      </c>
      <c r="AW21" s="51">
        <v>0.43611111111111112</v>
      </c>
      <c r="AX21" s="47"/>
      <c r="AY21" s="47">
        <v>7.4</v>
      </c>
      <c r="AZ21" s="47">
        <v>1</v>
      </c>
      <c r="BA21" s="47">
        <v>1000</v>
      </c>
      <c r="BB21" s="47">
        <v>113</v>
      </c>
      <c r="BC21" s="47">
        <v>62</v>
      </c>
      <c r="BD21" s="47">
        <v>79</v>
      </c>
      <c r="BE21" s="47">
        <v>71</v>
      </c>
      <c r="BF21" s="47">
        <v>1</v>
      </c>
      <c r="BG21" s="47">
        <v>180</v>
      </c>
      <c r="BH21" s="47">
        <v>100</v>
      </c>
      <c r="BI21" s="47"/>
      <c r="BJ21" s="47">
        <v>15</v>
      </c>
      <c r="BK21" s="47">
        <v>81</v>
      </c>
      <c r="BL21" s="47">
        <v>38</v>
      </c>
      <c r="BM21" s="47">
        <v>53</v>
      </c>
      <c r="BN21" s="47">
        <v>1</v>
      </c>
      <c r="BO21" s="47">
        <v>5</v>
      </c>
      <c r="BP21" s="47">
        <v>0</v>
      </c>
      <c r="BQ21" s="47">
        <v>0</v>
      </c>
      <c r="BR21" s="47">
        <v>0</v>
      </c>
      <c r="BS21" s="47">
        <v>0.48</v>
      </c>
      <c r="BT21" s="47">
        <v>5</v>
      </c>
      <c r="BU21" s="47">
        <v>0</v>
      </c>
      <c r="BV21" s="47">
        <v>0</v>
      </c>
      <c r="BW21" s="47">
        <v>100</v>
      </c>
      <c r="BX21" s="47">
        <v>0.5</v>
      </c>
      <c r="BY21" s="47">
        <v>921.7</v>
      </c>
      <c r="BZ21" s="47">
        <v>1500</v>
      </c>
      <c r="CA21" s="47">
        <v>0</v>
      </c>
      <c r="CB21" s="47">
        <v>9</v>
      </c>
      <c r="CC21" s="47">
        <v>3</v>
      </c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>
        <v>0</v>
      </c>
      <c r="CP21" s="47"/>
      <c r="CQ21" s="47">
        <v>1</v>
      </c>
      <c r="CR21" s="47">
        <v>200</v>
      </c>
      <c r="CS21" s="47">
        <v>0</v>
      </c>
      <c r="CT21" s="47">
        <v>0</v>
      </c>
      <c r="CU21" s="47">
        <v>100</v>
      </c>
      <c r="CV21" s="47">
        <f t="shared" si="10"/>
        <v>2421.6999999999998</v>
      </c>
      <c r="CW21" s="230">
        <v>0.43194444444444446</v>
      </c>
      <c r="CX21" s="230">
        <v>0.47222222222222227</v>
      </c>
      <c r="CY21" s="51">
        <f t="shared" ref="CY21:CY38" si="16">CX21-CW21</f>
        <v>4.0277777777777801E-2</v>
      </c>
      <c r="CZ21" s="55">
        <f t="shared" si="9"/>
        <v>58.000000000000036</v>
      </c>
      <c r="DA21" s="47">
        <v>121</v>
      </c>
      <c r="DB21" s="47">
        <v>104</v>
      </c>
      <c r="DC21" s="49">
        <f t="shared" ref="DC21:DC37" si="17">((DA21-DB21)*1/3)+DB21</f>
        <v>109.66666666666667</v>
      </c>
      <c r="DD21" s="47">
        <v>78</v>
      </c>
      <c r="DE21" s="47">
        <v>2</v>
      </c>
      <c r="DF21" s="47">
        <v>1</v>
      </c>
      <c r="DG21" s="47">
        <v>1</v>
      </c>
      <c r="DH21" s="47">
        <v>1</v>
      </c>
      <c r="DI21" s="47"/>
      <c r="DJ21" s="47"/>
      <c r="DK21" s="47"/>
      <c r="DL21" s="47"/>
      <c r="DM21" s="47"/>
      <c r="DN21" s="47">
        <v>2</v>
      </c>
      <c r="DO21" s="47">
        <v>2</v>
      </c>
      <c r="DP21" s="47">
        <v>3</v>
      </c>
      <c r="DQ21" s="47">
        <v>4</v>
      </c>
      <c r="DR21" s="47">
        <v>4</v>
      </c>
      <c r="DS21" s="47">
        <v>4</v>
      </c>
      <c r="DT21" s="47">
        <v>0</v>
      </c>
      <c r="DU21" s="47">
        <v>0</v>
      </c>
      <c r="DV21" s="47">
        <v>2</v>
      </c>
      <c r="DW21" s="47">
        <v>6</v>
      </c>
      <c r="DX21" s="47">
        <v>0</v>
      </c>
      <c r="DZ21" s="47">
        <v>13.5</v>
      </c>
      <c r="EA21" s="47">
        <v>13.4</v>
      </c>
      <c r="EB21" s="47">
        <v>13.3</v>
      </c>
      <c r="EC21" s="47">
        <v>12.6</v>
      </c>
      <c r="ED21" s="47"/>
      <c r="EE21" s="47">
        <v>36.9</v>
      </c>
      <c r="EF21" s="47">
        <v>37.700000000000003</v>
      </c>
      <c r="EG21" s="47">
        <v>39.299999999999997</v>
      </c>
      <c r="EH21" s="47">
        <v>37</v>
      </c>
      <c r="EI21" s="52"/>
      <c r="EJ21" s="47">
        <v>0.91</v>
      </c>
      <c r="EK21" s="47">
        <v>0.92</v>
      </c>
      <c r="EL21" s="47">
        <v>0.92</v>
      </c>
      <c r="EM21" s="47">
        <v>0.83</v>
      </c>
      <c r="EN21" s="213"/>
      <c r="EO21" s="213"/>
      <c r="EP21" s="47">
        <v>83</v>
      </c>
      <c r="EQ21" s="47">
        <v>79</v>
      </c>
      <c r="ER21" s="47">
        <v>107</v>
      </c>
      <c r="ES21" s="47">
        <v>90</v>
      </c>
      <c r="ET21" s="47"/>
      <c r="EU21" s="47"/>
      <c r="EV21" s="47"/>
      <c r="EW21" s="47"/>
      <c r="EX21" s="47"/>
      <c r="EY21" s="47"/>
      <c r="EZ21" s="47"/>
      <c r="FA21" s="47">
        <v>0</v>
      </c>
      <c r="FB21" s="48">
        <v>41849</v>
      </c>
      <c r="FC21" s="55">
        <f>(FB21-G21)</f>
        <v>5</v>
      </c>
      <c r="FD21" s="47"/>
      <c r="FI21" s="25"/>
    </row>
    <row r="22" spans="1:177" s="1" customFormat="1" x14ac:dyDescent="0.25">
      <c r="A22" s="92" t="s">
        <v>333</v>
      </c>
      <c r="B22" s="56" t="s">
        <v>160</v>
      </c>
      <c r="C22" s="54" t="s">
        <v>156</v>
      </c>
      <c r="D22" s="47" t="str">
        <f t="shared" si="0"/>
        <v xml:space="preserve">59 Y 10 M </v>
      </c>
      <c r="E22" s="47">
        <v>1</v>
      </c>
      <c r="F22" s="48">
        <v>19976</v>
      </c>
      <c r="G22" s="48">
        <v>41844</v>
      </c>
      <c r="H22" s="49">
        <v>188</v>
      </c>
      <c r="I22" s="49">
        <v>118</v>
      </c>
      <c r="J22" s="49">
        <f t="shared" si="11"/>
        <v>82.236312400000003</v>
      </c>
      <c r="K22" s="7">
        <f t="shared" si="12"/>
        <v>33.386147578089634</v>
      </c>
      <c r="L22" s="47">
        <v>0</v>
      </c>
      <c r="M22" s="47">
        <v>1</v>
      </c>
      <c r="N22" s="47">
        <v>0</v>
      </c>
      <c r="O22" s="47">
        <v>0</v>
      </c>
      <c r="P22" s="47">
        <v>0</v>
      </c>
      <c r="Q22" s="47">
        <v>1</v>
      </c>
      <c r="R22" s="47">
        <v>1</v>
      </c>
      <c r="S22" s="47">
        <v>10</v>
      </c>
      <c r="T22" s="47">
        <v>0</v>
      </c>
      <c r="U22" s="47">
        <v>0</v>
      </c>
      <c r="V22" s="47">
        <v>0</v>
      </c>
      <c r="W22" s="47">
        <v>0</v>
      </c>
      <c r="X22" s="47">
        <v>0</v>
      </c>
      <c r="Y22" s="49">
        <v>0</v>
      </c>
      <c r="Z22" s="47">
        <v>0</v>
      </c>
      <c r="AA22" s="47">
        <v>0</v>
      </c>
      <c r="AB22" s="47">
        <v>0</v>
      </c>
      <c r="AC22" s="47">
        <v>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/>
      <c r="AJ22" s="47"/>
      <c r="AK22" s="49">
        <v>16.3</v>
      </c>
      <c r="AL22" s="47">
        <v>48.4</v>
      </c>
      <c r="AM22" s="47">
        <v>0.8</v>
      </c>
      <c r="AN22" s="47"/>
      <c r="AO22" s="47"/>
      <c r="AP22" s="49">
        <v>135</v>
      </c>
      <c r="AQ22" s="49">
        <v>78</v>
      </c>
      <c r="AR22" s="49">
        <f t="shared" si="13"/>
        <v>97</v>
      </c>
      <c r="AS22" s="49">
        <f t="shared" si="14"/>
        <v>162</v>
      </c>
      <c r="AT22" s="49">
        <f t="shared" si="15"/>
        <v>108</v>
      </c>
      <c r="AU22" s="50">
        <v>0.54097222222222219</v>
      </c>
      <c r="AV22" s="50">
        <v>0.48541666666666666</v>
      </c>
      <c r="AW22" s="51">
        <v>0.62986111111111109</v>
      </c>
      <c r="AX22" s="51">
        <v>0.41666666666666669</v>
      </c>
      <c r="AY22" s="47">
        <v>8.1</v>
      </c>
      <c r="AZ22" s="47">
        <v>1</v>
      </c>
      <c r="BA22" s="47">
        <v>1000</v>
      </c>
      <c r="BB22" s="47">
        <v>129</v>
      </c>
      <c r="BC22" s="47">
        <v>78</v>
      </c>
      <c r="BD22" s="47">
        <v>91</v>
      </c>
      <c r="BE22" s="47">
        <v>103</v>
      </c>
      <c r="BF22" s="47">
        <v>1</v>
      </c>
      <c r="BG22" s="47">
        <v>170</v>
      </c>
      <c r="BH22" s="47">
        <v>100</v>
      </c>
      <c r="BI22" s="47">
        <v>0.5</v>
      </c>
      <c r="BJ22" s="47">
        <v>12</v>
      </c>
      <c r="BK22" s="47">
        <v>63</v>
      </c>
      <c r="BL22" s="47">
        <v>40</v>
      </c>
      <c r="BM22" s="47">
        <v>49</v>
      </c>
      <c r="BN22" s="47">
        <v>3</v>
      </c>
      <c r="BO22" s="47">
        <v>2</v>
      </c>
      <c r="BP22" s="47">
        <v>0</v>
      </c>
      <c r="BQ22" s="47">
        <v>0</v>
      </c>
      <c r="BR22" s="47">
        <v>0</v>
      </c>
      <c r="BS22" s="47">
        <v>720</v>
      </c>
      <c r="BT22" s="47">
        <v>15</v>
      </c>
      <c r="BU22" s="47">
        <v>0</v>
      </c>
      <c r="BV22" s="47">
        <v>0</v>
      </c>
      <c r="BW22" s="47">
        <v>150</v>
      </c>
      <c r="BX22" s="47">
        <v>0</v>
      </c>
      <c r="BY22" s="47">
        <v>1237</v>
      </c>
      <c r="BZ22" s="47">
        <v>500</v>
      </c>
      <c r="CA22" s="47">
        <v>500</v>
      </c>
      <c r="CB22" s="47">
        <v>9</v>
      </c>
      <c r="CC22" s="47">
        <v>16</v>
      </c>
      <c r="CD22" s="47">
        <v>8</v>
      </c>
      <c r="CE22" s="47"/>
      <c r="CF22" s="47"/>
      <c r="CG22" s="47"/>
      <c r="CH22" s="47"/>
      <c r="CI22" s="47"/>
      <c r="CJ22" s="47">
        <v>7</v>
      </c>
      <c r="CK22" s="47">
        <v>16.3</v>
      </c>
      <c r="CL22" s="47">
        <v>131</v>
      </c>
      <c r="CM22" s="47"/>
      <c r="CN22" s="47"/>
      <c r="CO22" s="47">
        <v>0</v>
      </c>
      <c r="CP22" s="47">
        <v>1</v>
      </c>
      <c r="CQ22" s="47">
        <v>0</v>
      </c>
      <c r="CR22" s="47">
        <v>0</v>
      </c>
      <c r="CS22" s="47">
        <v>0</v>
      </c>
      <c r="CT22" s="47">
        <v>0</v>
      </c>
      <c r="CU22" s="47">
        <v>200</v>
      </c>
      <c r="CV22" s="47">
        <f t="shared" si="10"/>
        <v>1737</v>
      </c>
      <c r="CW22" s="230">
        <v>0.62638888888888888</v>
      </c>
      <c r="CX22" s="230">
        <v>0.66666666666666663</v>
      </c>
      <c r="CY22" s="51">
        <f t="shared" si="16"/>
        <v>4.0277777777777746E-2</v>
      </c>
      <c r="CZ22" s="55">
        <f t="shared" si="9"/>
        <v>57.999999999999957</v>
      </c>
      <c r="DA22" s="47">
        <v>154</v>
      </c>
      <c r="DB22" s="47">
        <v>64</v>
      </c>
      <c r="DC22" s="49">
        <f t="shared" si="17"/>
        <v>94</v>
      </c>
      <c r="DD22" s="47">
        <v>118</v>
      </c>
      <c r="DE22" s="47">
        <v>2</v>
      </c>
      <c r="DF22" s="47">
        <v>1</v>
      </c>
      <c r="DG22" s="47">
        <v>1</v>
      </c>
      <c r="DH22" s="47">
        <v>1</v>
      </c>
      <c r="DI22" s="47"/>
      <c r="DJ22" s="47"/>
      <c r="DK22" s="47"/>
      <c r="DL22" s="47"/>
      <c r="DM22" s="47"/>
      <c r="DN22" s="47">
        <v>1</v>
      </c>
      <c r="DO22" s="47">
        <v>3</v>
      </c>
      <c r="DP22" s="47">
        <v>6</v>
      </c>
      <c r="DQ22" s="47">
        <v>4</v>
      </c>
      <c r="DR22" s="47">
        <v>0</v>
      </c>
      <c r="DS22" s="57">
        <v>3</v>
      </c>
      <c r="DT22" s="57">
        <v>3</v>
      </c>
      <c r="DU22" s="57">
        <v>3</v>
      </c>
      <c r="DV22" s="57">
        <v>3</v>
      </c>
      <c r="DW22" s="57">
        <v>0</v>
      </c>
      <c r="DX22" s="57">
        <v>0</v>
      </c>
      <c r="DZ22" s="47">
        <v>14.2</v>
      </c>
      <c r="EA22" s="47">
        <v>13.4</v>
      </c>
      <c r="EB22" s="47">
        <v>13</v>
      </c>
      <c r="EC22" s="47">
        <v>13</v>
      </c>
      <c r="ED22" s="47">
        <v>14</v>
      </c>
      <c r="EE22" s="47">
        <v>40.200000000000003</v>
      </c>
      <c r="EF22" s="47">
        <v>38.6</v>
      </c>
      <c r="EG22" s="47">
        <v>39.4</v>
      </c>
      <c r="EH22" s="47">
        <v>39.700000000000003</v>
      </c>
      <c r="EI22" s="52">
        <v>41</v>
      </c>
      <c r="EJ22" s="47">
        <v>0.75</v>
      </c>
      <c r="EK22" s="47">
        <v>0.65</v>
      </c>
      <c r="EL22" s="47">
        <v>0.59</v>
      </c>
      <c r="EM22" s="213"/>
      <c r="EN22" s="47">
        <v>0.47</v>
      </c>
      <c r="EO22" s="47"/>
      <c r="EP22" s="47">
        <v>184</v>
      </c>
      <c r="EQ22" s="47">
        <v>145</v>
      </c>
      <c r="ER22" s="47">
        <v>153</v>
      </c>
      <c r="ES22" s="213"/>
      <c r="ET22" s="47">
        <v>175</v>
      </c>
      <c r="EU22" s="47"/>
      <c r="EV22" s="47"/>
      <c r="EW22" s="47"/>
      <c r="EX22" s="47"/>
      <c r="EY22" s="47"/>
      <c r="EZ22" s="47">
        <v>1</v>
      </c>
      <c r="FA22" s="47">
        <v>2</v>
      </c>
      <c r="FB22" s="48">
        <v>41852</v>
      </c>
      <c r="FC22" s="55">
        <f>(FB22-G22)</f>
        <v>8</v>
      </c>
      <c r="FD22" s="47"/>
      <c r="FI22" s="25"/>
    </row>
    <row r="23" spans="1:177" s="1" customFormat="1" x14ac:dyDescent="0.25">
      <c r="A23" s="92" t="s">
        <v>334</v>
      </c>
      <c r="B23" s="56" t="s">
        <v>161</v>
      </c>
      <c r="C23" s="212" t="s">
        <v>156</v>
      </c>
      <c r="D23" s="47" t="str">
        <f t="shared" si="0"/>
        <v xml:space="preserve">63 Y 7 M </v>
      </c>
      <c r="E23" s="47">
        <v>1</v>
      </c>
      <c r="F23" s="48">
        <v>18603</v>
      </c>
      <c r="G23" s="48">
        <v>41851</v>
      </c>
      <c r="H23" s="49">
        <v>170.2</v>
      </c>
      <c r="I23" s="49">
        <v>82.8</v>
      </c>
      <c r="J23" s="49">
        <f t="shared" si="11"/>
        <v>66.118193459999986</v>
      </c>
      <c r="K23" s="7">
        <f t="shared" si="12"/>
        <v>28.583224822942803</v>
      </c>
      <c r="L23" s="47">
        <v>1</v>
      </c>
      <c r="M23" s="47">
        <v>1</v>
      </c>
      <c r="N23" s="47">
        <v>1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47">
        <v>0</v>
      </c>
      <c r="X23" s="47">
        <v>0</v>
      </c>
      <c r="Y23" s="49">
        <v>0</v>
      </c>
      <c r="Z23" s="47">
        <v>0</v>
      </c>
      <c r="AA23" s="47">
        <v>0</v>
      </c>
      <c r="AB23" s="47">
        <v>0</v>
      </c>
      <c r="AC23" s="47">
        <v>0</v>
      </c>
      <c r="AD23" s="47">
        <v>0</v>
      </c>
      <c r="AE23" s="47">
        <v>0</v>
      </c>
      <c r="AF23" s="47">
        <v>0</v>
      </c>
      <c r="AG23" s="47">
        <v>0</v>
      </c>
      <c r="AH23" s="47">
        <v>0</v>
      </c>
      <c r="AI23" s="47"/>
      <c r="AJ23" s="47">
        <v>4</v>
      </c>
      <c r="AK23" s="49">
        <v>12.6</v>
      </c>
      <c r="AL23" s="47">
        <v>36.799999999999997</v>
      </c>
      <c r="AM23" s="47">
        <v>0.69</v>
      </c>
      <c r="AN23" s="47" t="s">
        <v>128</v>
      </c>
      <c r="AO23" s="47"/>
      <c r="AP23" s="49">
        <v>126</v>
      </c>
      <c r="AQ23" s="49">
        <v>84</v>
      </c>
      <c r="AR23" s="49">
        <f t="shared" si="13"/>
        <v>98</v>
      </c>
      <c r="AS23" s="49">
        <f t="shared" si="14"/>
        <v>151.19999999999999</v>
      </c>
      <c r="AT23" s="49">
        <f t="shared" si="15"/>
        <v>100.8</v>
      </c>
      <c r="AU23" s="50">
        <v>0.31319444444444444</v>
      </c>
      <c r="AV23" s="50">
        <v>0.32083333333333336</v>
      </c>
      <c r="AW23" s="51">
        <v>0.51666666666666672</v>
      </c>
      <c r="AX23" s="51">
        <v>0.22916666666666666</v>
      </c>
      <c r="AY23" s="47">
        <v>8.1</v>
      </c>
      <c r="AZ23" s="47">
        <v>1</v>
      </c>
      <c r="BA23" s="47">
        <v>1000</v>
      </c>
      <c r="BB23" s="47">
        <v>106</v>
      </c>
      <c r="BC23" s="47">
        <v>62</v>
      </c>
      <c r="BD23" s="47">
        <v>77</v>
      </c>
      <c r="BE23" s="47">
        <v>66</v>
      </c>
      <c r="BF23" s="47">
        <v>1</v>
      </c>
      <c r="BG23" s="47">
        <v>130</v>
      </c>
      <c r="BH23" s="47">
        <v>150</v>
      </c>
      <c r="BI23" s="47">
        <v>0.5</v>
      </c>
      <c r="BJ23" s="47">
        <v>6</v>
      </c>
      <c r="BK23" s="47">
        <v>54</v>
      </c>
      <c r="BL23" s="47">
        <v>38</v>
      </c>
      <c r="BM23" s="47">
        <v>41</v>
      </c>
      <c r="BN23" s="47">
        <v>1</v>
      </c>
      <c r="BO23" s="47">
        <v>18</v>
      </c>
      <c r="BP23" s="47">
        <v>0</v>
      </c>
      <c r="BQ23" s="47">
        <v>0</v>
      </c>
      <c r="BR23" s="47">
        <v>0</v>
      </c>
      <c r="BS23" s="47">
        <v>2000</v>
      </c>
      <c r="BT23" s="47">
        <v>15</v>
      </c>
      <c r="BU23" s="47">
        <v>0</v>
      </c>
      <c r="BV23" s="47">
        <v>0</v>
      </c>
      <c r="BW23" s="47">
        <v>150</v>
      </c>
      <c r="BX23" s="47">
        <v>0</v>
      </c>
      <c r="BY23" s="47">
        <v>1500</v>
      </c>
      <c r="BZ23" s="47">
        <v>2800</v>
      </c>
      <c r="CA23" s="47">
        <v>750</v>
      </c>
      <c r="CB23" s="47">
        <v>8</v>
      </c>
      <c r="CC23" s="47">
        <v>11</v>
      </c>
      <c r="CD23" s="47">
        <v>11</v>
      </c>
      <c r="CE23" s="47"/>
      <c r="CF23" s="47"/>
      <c r="CG23" s="47"/>
      <c r="CH23" s="47"/>
      <c r="CI23" s="47"/>
      <c r="CJ23" s="47">
        <v>7</v>
      </c>
      <c r="CK23" s="47">
        <v>11.1</v>
      </c>
      <c r="CL23" s="47">
        <v>121</v>
      </c>
      <c r="CM23" s="47">
        <v>8.8000000000000007</v>
      </c>
      <c r="CN23" s="47">
        <v>189</v>
      </c>
      <c r="CO23" s="47">
        <v>0</v>
      </c>
      <c r="CP23" s="47">
        <v>1</v>
      </c>
      <c r="CQ23" s="47">
        <v>1</v>
      </c>
      <c r="CR23" s="47">
        <v>100</v>
      </c>
      <c r="CS23" s="47">
        <v>0</v>
      </c>
      <c r="CT23" s="47">
        <v>0</v>
      </c>
      <c r="CU23" s="47">
        <v>850</v>
      </c>
      <c r="CV23" s="47">
        <f t="shared" si="10"/>
        <v>4300</v>
      </c>
      <c r="CW23" s="230">
        <v>0.5131944444444444</v>
      </c>
      <c r="CX23" s="230">
        <v>0.56458333333333333</v>
      </c>
      <c r="CY23" s="51">
        <f t="shared" si="16"/>
        <v>5.1388888888888928E-2</v>
      </c>
      <c r="CZ23" s="55">
        <f t="shared" si="9"/>
        <v>74.000000000000057</v>
      </c>
      <c r="DA23" s="47">
        <v>113</v>
      </c>
      <c r="DB23" s="47">
        <v>45</v>
      </c>
      <c r="DC23" s="49">
        <f t="shared" si="17"/>
        <v>67.666666666666671</v>
      </c>
      <c r="DD23" s="47">
        <v>77</v>
      </c>
      <c r="DE23" s="47">
        <v>2</v>
      </c>
      <c r="DF23" s="47">
        <v>1</v>
      </c>
      <c r="DG23" s="47">
        <v>1</v>
      </c>
      <c r="DH23" s="47">
        <v>1</v>
      </c>
      <c r="DI23" s="47"/>
      <c r="DJ23" s="47"/>
      <c r="DK23" s="47"/>
      <c r="DL23" s="47"/>
      <c r="DM23" s="47"/>
      <c r="DN23" s="47">
        <v>3</v>
      </c>
      <c r="DO23" s="47">
        <v>3</v>
      </c>
      <c r="DP23" s="47">
        <v>5</v>
      </c>
      <c r="DQ23" s="47">
        <v>4</v>
      </c>
      <c r="DR23" s="47">
        <v>0</v>
      </c>
      <c r="DS23" s="47">
        <v>9</v>
      </c>
      <c r="DT23" s="47">
        <v>8</v>
      </c>
      <c r="DU23" s="47">
        <v>7</v>
      </c>
      <c r="DV23" s="47">
        <v>0</v>
      </c>
      <c r="DW23" s="47">
        <v>0</v>
      </c>
      <c r="DX23" s="47">
        <v>0</v>
      </c>
      <c r="DZ23" s="47">
        <v>12.9</v>
      </c>
      <c r="EA23" s="47">
        <v>11.3</v>
      </c>
      <c r="EB23" s="47">
        <v>11.2</v>
      </c>
      <c r="EC23" s="47">
        <v>10.1</v>
      </c>
      <c r="ED23" s="47">
        <v>10.3</v>
      </c>
      <c r="EE23" s="47">
        <v>37.1</v>
      </c>
      <c r="EF23" s="47">
        <v>33.9</v>
      </c>
      <c r="EG23" s="47">
        <v>33.700000000000003</v>
      </c>
      <c r="EH23" s="47">
        <v>29.6</v>
      </c>
      <c r="EI23" s="52">
        <v>31.5</v>
      </c>
      <c r="EJ23" s="47">
        <v>0.62</v>
      </c>
      <c r="EK23" s="47">
        <v>0.74</v>
      </c>
      <c r="EL23" s="47">
        <v>0.72</v>
      </c>
      <c r="EM23" s="47">
        <v>0.71</v>
      </c>
      <c r="EN23" s="47">
        <v>0.61</v>
      </c>
      <c r="EO23" s="47">
        <v>192</v>
      </c>
      <c r="EP23" s="47">
        <v>176</v>
      </c>
      <c r="EQ23" s="47">
        <v>162</v>
      </c>
      <c r="ER23" s="47">
        <v>157</v>
      </c>
      <c r="ES23" s="47">
        <v>145</v>
      </c>
      <c r="ET23" s="47">
        <v>159</v>
      </c>
      <c r="EU23" s="47"/>
      <c r="EV23" s="47"/>
      <c r="EW23" s="47"/>
      <c r="EX23" s="47"/>
      <c r="EY23" s="47"/>
      <c r="EZ23" s="47"/>
      <c r="FA23" s="47">
        <v>0</v>
      </c>
      <c r="FB23" s="48">
        <v>41857</v>
      </c>
      <c r="FC23" s="55">
        <f>(FB23-G23)</f>
        <v>6</v>
      </c>
      <c r="FD23" s="47"/>
      <c r="FI23" s="25"/>
    </row>
    <row r="24" spans="1:177" s="25" customFormat="1" x14ac:dyDescent="0.25">
      <c r="A24" s="210" t="s">
        <v>375</v>
      </c>
      <c r="B24" s="56" t="s">
        <v>376</v>
      </c>
      <c r="C24" s="212" t="s">
        <v>156</v>
      </c>
      <c r="D24" s="54" t="str">
        <f>IF(DATEDIF(F24,G24,"y")=0," ",DATEDIF(F24,G24,"y")&amp;" Y ")&amp;IF(DATEDIF(F24,G24,"ym")=0,"",DATEDIF(F24,G24,"ym")&amp;" M ")</f>
        <v xml:space="preserve">56 Y 8 M </v>
      </c>
      <c r="E24" s="54">
        <v>1</v>
      </c>
      <c r="F24" s="182">
        <v>21190</v>
      </c>
      <c r="G24" s="182">
        <v>41887</v>
      </c>
      <c r="H24" s="183">
        <v>183.6</v>
      </c>
      <c r="I24" s="183">
        <v>111.4</v>
      </c>
      <c r="J24" s="183">
        <v>77.599999999999994</v>
      </c>
      <c r="K24" s="183">
        <v>33</v>
      </c>
      <c r="L24" s="54">
        <v>2</v>
      </c>
      <c r="M24" s="54">
        <v>1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/>
      <c r="AJ24" s="54"/>
      <c r="AK24" s="183">
        <v>9.6999999999999993</v>
      </c>
      <c r="AL24" s="54">
        <v>28.8</v>
      </c>
      <c r="AM24" s="54">
        <v>1.78</v>
      </c>
      <c r="AN24" s="54">
        <v>48</v>
      </c>
      <c r="AO24" s="54">
        <v>11.3</v>
      </c>
      <c r="AP24" s="183">
        <v>134</v>
      </c>
      <c r="AQ24" s="183">
        <v>92</v>
      </c>
      <c r="AR24" s="49">
        <f t="shared" si="13"/>
        <v>106</v>
      </c>
      <c r="AS24" s="49">
        <f t="shared" si="14"/>
        <v>160.80000000000001</v>
      </c>
      <c r="AT24" s="49">
        <f t="shared" si="15"/>
        <v>107.2</v>
      </c>
      <c r="AU24" s="184">
        <v>0.3125</v>
      </c>
      <c r="AV24" s="184">
        <v>0.31805555555555554</v>
      </c>
      <c r="AW24" s="185">
        <v>0.44861111111111113</v>
      </c>
      <c r="AX24" s="185"/>
      <c r="AY24" s="54"/>
      <c r="AZ24" s="54">
        <v>1</v>
      </c>
      <c r="BA24" s="54">
        <v>1000</v>
      </c>
      <c r="BB24" s="47">
        <v>142</v>
      </c>
      <c r="BC24" s="47">
        <v>93</v>
      </c>
      <c r="BD24" s="47">
        <v>109</v>
      </c>
      <c r="BE24" s="47">
        <v>93</v>
      </c>
      <c r="BF24" s="47">
        <v>1</v>
      </c>
      <c r="BG24" s="47">
        <v>100</v>
      </c>
      <c r="BH24" s="47">
        <v>150</v>
      </c>
      <c r="BI24" s="47">
        <v>0</v>
      </c>
      <c r="BJ24" s="47">
        <v>15</v>
      </c>
      <c r="BK24" s="47">
        <v>78</v>
      </c>
      <c r="BL24" s="47">
        <v>35</v>
      </c>
      <c r="BM24" s="47">
        <v>46</v>
      </c>
      <c r="BN24" s="47">
        <v>1</v>
      </c>
      <c r="BO24" s="47">
        <v>10</v>
      </c>
      <c r="BP24" s="47"/>
      <c r="BQ24" s="47">
        <v>0</v>
      </c>
      <c r="BR24" s="47"/>
      <c r="BS24" s="47">
        <v>4800</v>
      </c>
      <c r="BT24" s="47"/>
      <c r="BU24" s="47"/>
      <c r="BV24" s="47"/>
      <c r="BW24" s="47">
        <v>300</v>
      </c>
      <c r="BX24" s="47">
        <v>1.4</v>
      </c>
      <c r="BY24" s="47"/>
      <c r="BZ24" s="47">
        <v>2900</v>
      </c>
      <c r="CA24" s="47">
        <v>1000</v>
      </c>
      <c r="CB24" s="47">
        <v>10</v>
      </c>
      <c r="CC24" s="47">
        <v>11</v>
      </c>
      <c r="CD24" s="47">
        <v>7</v>
      </c>
      <c r="CE24" s="47"/>
      <c r="CF24" s="47"/>
      <c r="CG24" s="47"/>
      <c r="CH24" s="47"/>
      <c r="CI24" s="47"/>
      <c r="CJ24" s="47">
        <v>7</v>
      </c>
      <c r="CK24" s="47">
        <v>9.4</v>
      </c>
      <c r="CL24" s="47">
        <v>89</v>
      </c>
      <c r="CM24" s="47">
        <v>8.6</v>
      </c>
      <c r="CN24" s="47">
        <v>9.4</v>
      </c>
      <c r="CO24" s="47">
        <v>0</v>
      </c>
      <c r="CP24" s="47">
        <v>1</v>
      </c>
      <c r="CQ24" s="47">
        <v>0</v>
      </c>
      <c r="CR24" s="47"/>
      <c r="CS24" s="47"/>
      <c r="CT24" s="47">
        <v>0</v>
      </c>
      <c r="CU24" s="54">
        <v>600</v>
      </c>
      <c r="CV24" s="47">
        <f t="shared" si="10"/>
        <v>2900</v>
      </c>
      <c r="CW24" s="232">
        <v>0.44444444444444442</v>
      </c>
      <c r="CX24" s="232">
        <v>0.5</v>
      </c>
      <c r="CY24" s="51">
        <f t="shared" si="16"/>
        <v>5.555555555555558E-2</v>
      </c>
      <c r="CZ24" s="55">
        <f t="shared" si="9"/>
        <v>80.000000000000028</v>
      </c>
      <c r="DA24" s="54">
        <v>113</v>
      </c>
      <c r="DB24" s="54">
        <v>64</v>
      </c>
      <c r="DC24" s="49">
        <f t="shared" si="17"/>
        <v>80.333333333333329</v>
      </c>
      <c r="DD24" s="54">
        <v>85</v>
      </c>
      <c r="DE24" s="54">
        <v>2</v>
      </c>
      <c r="DF24" s="54">
        <v>1</v>
      </c>
      <c r="DG24" s="54">
        <v>1</v>
      </c>
      <c r="DH24" s="54">
        <v>1</v>
      </c>
      <c r="DI24" s="54"/>
      <c r="DJ24" s="54"/>
      <c r="DK24" s="54"/>
      <c r="DL24" s="54"/>
      <c r="DM24" s="54"/>
      <c r="DN24" s="199">
        <v>3</v>
      </c>
      <c r="DO24" s="54">
        <v>3</v>
      </c>
      <c r="DP24" s="54">
        <v>5</v>
      </c>
      <c r="DQ24" s="54">
        <v>3</v>
      </c>
      <c r="DR24" s="54">
        <v>10</v>
      </c>
      <c r="DS24" s="54">
        <v>10</v>
      </c>
      <c r="DT24" s="54">
        <v>0</v>
      </c>
      <c r="DU24" s="54">
        <v>0</v>
      </c>
      <c r="DV24" s="54">
        <v>0</v>
      </c>
      <c r="DW24" s="54">
        <v>0</v>
      </c>
      <c r="DX24" s="54">
        <v>0</v>
      </c>
      <c r="DZ24" s="54">
        <v>10.1</v>
      </c>
      <c r="EA24" s="54">
        <v>9.6999999999999993</v>
      </c>
      <c r="EB24" s="54">
        <v>10.1</v>
      </c>
      <c r="EC24" s="54">
        <v>10.9</v>
      </c>
      <c r="ED24" s="188">
        <v>10.8</v>
      </c>
      <c r="EE24" s="54">
        <v>28.6</v>
      </c>
      <c r="EF24" s="54">
        <v>30.1</v>
      </c>
      <c r="EG24" s="54">
        <v>30.8</v>
      </c>
      <c r="EH24" s="54">
        <v>33.5</v>
      </c>
      <c r="EI24" s="189">
        <v>33.200000000000003</v>
      </c>
      <c r="EJ24" s="54">
        <v>1.06</v>
      </c>
      <c r="EK24" s="54">
        <v>1.04</v>
      </c>
      <c r="EL24" s="54">
        <v>1.49</v>
      </c>
      <c r="EM24" s="54">
        <v>1.5</v>
      </c>
      <c r="EN24" s="54">
        <v>1.4</v>
      </c>
      <c r="EO24" s="54">
        <v>130</v>
      </c>
      <c r="EP24" s="54">
        <v>172</v>
      </c>
      <c r="EQ24" s="54">
        <v>155</v>
      </c>
      <c r="ER24" s="54">
        <v>186</v>
      </c>
      <c r="ES24" s="54">
        <v>172</v>
      </c>
      <c r="ET24" s="54">
        <v>145</v>
      </c>
      <c r="EU24" s="54"/>
      <c r="EV24" s="54"/>
      <c r="EW24" s="54"/>
      <c r="EX24" s="54"/>
      <c r="EY24" s="54"/>
      <c r="EZ24" s="54"/>
      <c r="FA24" s="54">
        <v>0</v>
      </c>
      <c r="FB24" s="190">
        <v>41894</v>
      </c>
      <c r="FC24" s="55">
        <f>(FB24-G24)</f>
        <v>7</v>
      </c>
      <c r="FD24" s="54"/>
      <c r="FI24" s="65"/>
      <c r="FJ24" s="191"/>
    </row>
    <row r="25" spans="1:177" s="1" customFormat="1" x14ac:dyDescent="0.25">
      <c r="A25" s="116" t="s">
        <v>148</v>
      </c>
      <c r="B25" s="56" t="s">
        <v>168</v>
      </c>
      <c r="C25" s="213" t="s">
        <v>156</v>
      </c>
      <c r="D25" s="47" t="str">
        <f t="shared" si="0"/>
        <v xml:space="preserve">59 Y 1 M </v>
      </c>
      <c r="E25" s="47">
        <v>2</v>
      </c>
      <c r="F25" s="48">
        <v>20308</v>
      </c>
      <c r="G25" s="48">
        <v>41907</v>
      </c>
      <c r="H25" s="49">
        <v>160</v>
      </c>
      <c r="I25" s="49">
        <v>57.15</v>
      </c>
      <c r="J25" s="49">
        <f t="shared" si="11"/>
        <v>52.381968000000015</v>
      </c>
      <c r="K25" s="49">
        <f t="shared" si="12"/>
        <v>22.324218749999996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49">
        <v>0</v>
      </c>
      <c r="Z25" s="47">
        <v>0</v>
      </c>
      <c r="AA25" s="47">
        <v>0</v>
      </c>
      <c r="AB25" s="47">
        <v>0</v>
      </c>
      <c r="AC25" s="47">
        <v>0</v>
      </c>
      <c r="AD25" s="47">
        <v>0</v>
      </c>
      <c r="AE25" s="47">
        <v>0</v>
      </c>
      <c r="AF25" s="47">
        <v>0</v>
      </c>
      <c r="AG25" s="47">
        <v>0</v>
      </c>
      <c r="AH25" s="47">
        <v>0</v>
      </c>
      <c r="AI25" s="47"/>
      <c r="AJ25" s="47"/>
      <c r="AK25" s="49">
        <v>11</v>
      </c>
      <c r="AL25" s="47">
        <v>33.9</v>
      </c>
      <c r="AM25" s="47">
        <v>0.67</v>
      </c>
      <c r="AN25" s="47" t="s">
        <v>128</v>
      </c>
      <c r="AO25" s="47"/>
      <c r="AP25" s="49">
        <v>143</v>
      </c>
      <c r="AQ25" s="49">
        <v>81.25</v>
      </c>
      <c r="AR25" s="49">
        <f t="shared" si="13"/>
        <v>101.83333333333333</v>
      </c>
      <c r="AS25" s="49">
        <f t="shared" si="14"/>
        <v>171.6</v>
      </c>
      <c r="AT25" s="49">
        <f t="shared" si="15"/>
        <v>114.4</v>
      </c>
      <c r="AU25" s="50">
        <v>0.31388888888888888</v>
      </c>
      <c r="AV25" s="50">
        <v>0.32847222222222222</v>
      </c>
      <c r="AW25" s="51">
        <v>0.45833333333333331</v>
      </c>
      <c r="AX25" s="51">
        <v>0.22916666666666666</v>
      </c>
      <c r="AY25" s="47">
        <v>8</v>
      </c>
      <c r="AZ25" s="47">
        <v>1</v>
      </c>
      <c r="BA25" s="47">
        <v>1000</v>
      </c>
      <c r="BB25" s="47">
        <v>115</v>
      </c>
      <c r="BC25" s="47">
        <v>73</v>
      </c>
      <c r="BD25" s="47">
        <v>86</v>
      </c>
      <c r="BE25" s="47">
        <v>78</v>
      </c>
      <c r="BF25" s="47">
        <v>1</v>
      </c>
      <c r="BG25" s="47">
        <v>130</v>
      </c>
      <c r="BH25" s="47">
        <v>100</v>
      </c>
      <c r="BI25" s="47">
        <v>0</v>
      </c>
      <c r="BJ25" s="47">
        <v>11</v>
      </c>
      <c r="BK25" s="47">
        <v>78</v>
      </c>
      <c r="BL25" s="47">
        <v>46</v>
      </c>
      <c r="BM25" s="47">
        <v>58</v>
      </c>
      <c r="BN25" s="47">
        <v>1</v>
      </c>
      <c r="BO25" s="47">
        <v>12</v>
      </c>
      <c r="BP25" s="47">
        <v>0</v>
      </c>
      <c r="BQ25" s="47">
        <v>0</v>
      </c>
      <c r="BR25" s="47"/>
      <c r="BS25" s="47">
        <v>0</v>
      </c>
      <c r="BT25" s="47">
        <v>10</v>
      </c>
      <c r="BU25" s="47">
        <v>0</v>
      </c>
      <c r="BV25" s="47">
        <v>0</v>
      </c>
      <c r="BW25" s="47">
        <v>150</v>
      </c>
      <c r="BX25" s="47">
        <v>0.5</v>
      </c>
      <c r="BY25" s="47">
        <v>800</v>
      </c>
      <c r="BZ25" s="47">
        <v>2000</v>
      </c>
      <c r="CA25" s="47">
        <v>0</v>
      </c>
      <c r="CB25" s="47">
        <v>4</v>
      </c>
      <c r="CC25" s="47">
        <v>14</v>
      </c>
      <c r="CD25" s="47"/>
      <c r="CE25" s="47"/>
      <c r="CF25" s="47"/>
      <c r="CG25" s="47"/>
      <c r="CH25" s="47"/>
      <c r="CI25" s="47"/>
      <c r="CJ25" s="47">
        <v>12</v>
      </c>
      <c r="CK25" s="47">
        <v>9</v>
      </c>
      <c r="CL25" s="47">
        <v>90</v>
      </c>
      <c r="CM25" s="47">
        <v>9</v>
      </c>
      <c r="CN25" s="47">
        <v>90</v>
      </c>
      <c r="CO25" s="47">
        <v>0</v>
      </c>
      <c r="CP25" s="47">
        <v>1</v>
      </c>
      <c r="CQ25" s="47">
        <v>0</v>
      </c>
      <c r="CR25" s="47"/>
      <c r="CS25" s="47"/>
      <c r="CT25" s="47">
        <v>0</v>
      </c>
      <c r="CU25" s="47">
        <v>300</v>
      </c>
      <c r="CV25" s="47">
        <f t="shared" si="10"/>
        <v>2800</v>
      </c>
      <c r="CW25" s="230">
        <v>0.45416666666666666</v>
      </c>
      <c r="CX25" s="230">
        <v>0.5</v>
      </c>
      <c r="CY25" s="51">
        <f t="shared" si="16"/>
        <v>4.5833333333333337E-2</v>
      </c>
      <c r="CZ25" s="55">
        <f t="shared" si="9"/>
        <v>66</v>
      </c>
      <c r="DA25" s="47">
        <v>123</v>
      </c>
      <c r="DB25" s="47">
        <v>67</v>
      </c>
      <c r="DC25" s="49">
        <f t="shared" si="17"/>
        <v>85.666666666666671</v>
      </c>
      <c r="DD25" s="47">
        <v>68</v>
      </c>
      <c r="DE25" s="47">
        <v>2</v>
      </c>
      <c r="DF25" s="47">
        <v>1</v>
      </c>
      <c r="DG25" s="47">
        <v>1</v>
      </c>
      <c r="DH25" s="47">
        <v>1</v>
      </c>
      <c r="DI25" s="47"/>
      <c r="DJ25" s="47"/>
      <c r="DK25" s="47"/>
      <c r="DL25" s="47"/>
      <c r="DM25" s="47"/>
      <c r="DN25" s="47">
        <v>4</v>
      </c>
      <c r="DO25" s="47">
        <v>2</v>
      </c>
      <c r="DP25" s="47">
        <v>3</v>
      </c>
      <c r="DQ25" s="47">
        <v>5</v>
      </c>
      <c r="DR25" s="47">
        <v>0</v>
      </c>
      <c r="DS25" s="47">
        <v>0</v>
      </c>
      <c r="DT25" s="47">
        <v>6</v>
      </c>
      <c r="DU25" s="47">
        <v>5</v>
      </c>
      <c r="DV25" s="47">
        <v>2</v>
      </c>
      <c r="DW25" s="47">
        <v>3</v>
      </c>
      <c r="DX25" s="47">
        <v>6</v>
      </c>
      <c r="DZ25" s="47">
        <v>9.3000000000000007</v>
      </c>
      <c r="EA25" s="47">
        <v>10.1</v>
      </c>
      <c r="EB25" s="47">
        <v>9.1</v>
      </c>
      <c r="EC25" s="47">
        <v>8.4</v>
      </c>
      <c r="ED25" s="47">
        <v>9.1</v>
      </c>
      <c r="EE25" s="47">
        <v>28.7</v>
      </c>
      <c r="EF25" s="47">
        <v>31.1</v>
      </c>
      <c r="EG25" s="47">
        <v>28.2</v>
      </c>
      <c r="EH25" s="47">
        <v>25.3</v>
      </c>
      <c r="EI25" s="47">
        <v>28.4</v>
      </c>
      <c r="EJ25" s="47">
        <v>0.65</v>
      </c>
      <c r="EK25" s="47">
        <v>0.56000000000000005</v>
      </c>
      <c r="EL25" s="47">
        <v>0.53</v>
      </c>
      <c r="EM25" s="47">
        <v>0.54</v>
      </c>
      <c r="EN25" s="47">
        <v>0.52</v>
      </c>
      <c r="EO25" s="47"/>
      <c r="EP25" s="47">
        <v>103</v>
      </c>
      <c r="EQ25" s="47">
        <v>118</v>
      </c>
      <c r="ER25" s="47">
        <v>99</v>
      </c>
      <c r="ES25" s="47">
        <v>90</v>
      </c>
      <c r="ET25" s="47">
        <v>92</v>
      </c>
      <c r="EU25" s="47"/>
      <c r="EV25" s="47"/>
      <c r="EW25" s="47"/>
      <c r="EX25" s="47"/>
      <c r="EY25" s="47"/>
      <c r="EZ25" s="47"/>
      <c r="FA25" s="47">
        <v>0</v>
      </c>
      <c r="FB25" s="48">
        <v>41913</v>
      </c>
      <c r="FC25" s="55">
        <f t="shared" ref="FC25:FC31" si="18">(FB25-G25)</f>
        <v>6</v>
      </c>
      <c r="FD25" s="47"/>
    </row>
    <row r="26" spans="1:177" s="1" customFormat="1" x14ac:dyDescent="0.25">
      <c r="A26" s="57" t="s">
        <v>242</v>
      </c>
      <c r="B26" s="58" t="s">
        <v>239</v>
      </c>
      <c r="C26" s="213" t="s">
        <v>156</v>
      </c>
      <c r="D26" s="47" t="str">
        <f t="shared" si="0"/>
        <v xml:space="preserve">53 Y 9 M </v>
      </c>
      <c r="E26" s="47">
        <v>1</v>
      </c>
      <c r="F26" s="48">
        <v>22287</v>
      </c>
      <c r="G26" s="48">
        <v>41935</v>
      </c>
      <c r="H26" s="49">
        <v>172.2</v>
      </c>
      <c r="I26" s="49">
        <v>70.5</v>
      </c>
      <c r="J26" s="49">
        <f t="shared" si="11"/>
        <v>67.929218059999997</v>
      </c>
      <c r="K26" s="49">
        <f t="shared" si="12"/>
        <v>23.775125755239632</v>
      </c>
      <c r="L26" s="55">
        <v>2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4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59">
        <v>0</v>
      </c>
      <c r="AF26" s="59">
        <v>0</v>
      </c>
      <c r="AG26" s="59">
        <v>0</v>
      </c>
      <c r="AH26" s="59">
        <v>0</v>
      </c>
      <c r="AI26" s="47"/>
      <c r="AJ26" s="47"/>
      <c r="AK26" s="49">
        <v>14.4</v>
      </c>
      <c r="AL26" s="47">
        <v>43.3</v>
      </c>
      <c r="AM26" s="47">
        <v>0.76</v>
      </c>
      <c r="AN26" s="47" t="s">
        <v>128</v>
      </c>
      <c r="AO26" s="47"/>
      <c r="AP26" s="49">
        <v>112.5</v>
      </c>
      <c r="AQ26" s="49">
        <v>86</v>
      </c>
      <c r="AR26" s="49">
        <f t="shared" si="13"/>
        <v>94.833333333333329</v>
      </c>
      <c r="AS26" s="49">
        <f t="shared" si="14"/>
        <v>135</v>
      </c>
      <c r="AT26" s="49">
        <f t="shared" si="15"/>
        <v>90</v>
      </c>
      <c r="AU26" s="50">
        <v>0.4777777777777778</v>
      </c>
      <c r="AV26" s="50">
        <v>0.48333333333333334</v>
      </c>
      <c r="AW26" s="51">
        <v>0.63888888888888895</v>
      </c>
      <c r="AX26" s="51">
        <v>0.39583333333333331</v>
      </c>
      <c r="AY26" s="47">
        <v>8.1</v>
      </c>
      <c r="AZ26" s="47">
        <v>1</v>
      </c>
      <c r="BA26" s="47">
        <v>1000</v>
      </c>
      <c r="BB26" s="47">
        <v>116</v>
      </c>
      <c r="BC26" s="47">
        <v>69</v>
      </c>
      <c r="BD26" s="47">
        <v>85</v>
      </c>
      <c r="BE26" s="47">
        <v>85</v>
      </c>
      <c r="BF26" s="47">
        <v>1</v>
      </c>
      <c r="BG26" s="47">
        <v>140</v>
      </c>
      <c r="BH26" s="47">
        <v>100</v>
      </c>
      <c r="BI26" s="47">
        <v>0.6</v>
      </c>
      <c r="BJ26" s="47">
        <v>10</v>
      </c>
      <c r="BK26" s="47">
        <v>85</v>
      </c>
      <c r="BL26" s="47">
        <v>45</v>
      </c>
      <c r="BM26" s="47">
        <v>60</v>
      </c>
      <c r="BN26" s="47">
        <v>0</v>
      </c>
      <c r="BO26" s="47">
        <v>3</v>
      </c>
      <c r="BP26" s="47">
        <v>0</v>
      </c>
      <c r="BQ26" s="47">
        <v>0</v>
      </c>
      <c r="BR26" s="47"/>
      <c r="BS26" s="47">
        <v>640</v>
      </c>
      <c r="BT26" s="47">
        <v>10</v>
      </c>
      <c r="BU26" s="47">
        <v>0</v>
      </c>
      <c r="BV26" s="47">
        <v>0</v>
      </c>
      <c r="BW26" s="47">
        <v>100</v>
      </c>
      <c r="BX26" s="47">
        <v>0</v>
      </c>
      <c r="BY26" s="47">
        <v>1550</v>
      </c>
      <c r="BZ26" s="47">
        <v>1500</v>
      </c>
      <c r="CA26" s="47">
        <v>750</v>
      </c>
      <c r="CB26" s="47">
        <v>5</v>
      </c>
      <c r="CC26" s="47">
        <v>24</v>
      </c>
      <c r="CD26" s="47">
        <v>20</v>
      </c>
      <c r="CE26" s="47"/>
      <c r="CF26" s="47"/>
      <c r="CG26" s="47"/>
      <c r="CH26" s="47"/>
      <c r="CI26" s="47"/>
      <c r="CJ26" s="47">
        <v>13</v>
      </c>
      <c r="CK26" s="47">
        <v>12.2</v>
      </c>
      <c r="CL26" s="47">
        <v>107</v>
      </c>
      <c r="CM26" s="47">
        <v>11</v>
      </c>
      <c r="CN26" s="47">
        <v>136</v>
      </c>
      <c r="CO26" s="47">
        <v>0</v>
      </c>
      <c r="CP26" s="47">
        <v>1</v>
      </c>
      <c r="CQ26" s="47"/>
      <c r="CR26" s="47"/>
      <c r="CS26" s="47"/>
      <c r="CT26" s="47">
        <v>0</v>
      </c>
      <c r="CU26" s="47">
        <v>1000</v>
      </c>
      <c r="CV26" s="47">
        <f t="shared" si="10"/>
        <v>3050</v>
      </c>
      <c r="CW26" s="230">
        <v>0.65</v>
      </c>
      <c r="CX26" s="230">
        <v>0.6972222222222223</v>
      </c>
      <c r="CY26" s="51">
        <f t="shared" si="16"/>
        <v>4.7222222222222276E-2</v>
      </c>
      <c r="CZ26" s="55">
        <f t="shared" si="9"/>
        <v>68.000000000000085</v>
      </c>
      <c r="DA26" s="47">
        <v>119</v>
      </c>
      <c r="DB26" s="47">
        <v>64</v>
      </c>
      <c r="DC26" s="49">
        <f t="shared" si="17"/>
        <v>82.333333333333329</v>
      </c>
      <c r="DD26" s="47">
        <v>77</v>
      </c>
      <c r="DE26" s="47">
        <v>2</v>
      </c>
      <c r="DF26" s="47">
        <v>1</v>
      </c>
      <c r="DG26" s="47">
        <v>1</v>
      </c>
      <c r="DH26" s="47">
        <v>1</v>
      </c>
      <c r="DI26" s="47"/>
      <c r="DJ26" s="47"/>
      <c r="DK26" s="47"/>
      <c r="DL26" s="47"/>
      <c r="DM26" s="47"/>
      <c r="DN26" s="47">
        <v>4</v>
      </c>
      <c r="DO26" s="47">
        <v>3</v>
      </c>
      <c r="DP26" s="47">
        <v>4</v>
      </c>
      <c r="DQ26" s="47">
        <v>4</v>
      </c>
      <c r="DR26" s="47">
        <v>8</v>
      </c>
      <c r="DS26" s="47">
        <v>8</v>
      </c>
      <c r="DT26" s="47">
        <v>9</v>
      </c>
      <c r="DU26" s="47">
        <v>9</v>
      </c>
      <c r="DV26" s="47">
        <v>8</v>
      </c>
      <c r="DW26" s="47">
        <v>6</v>
      </c>
      <c r="DX26" s="47">
        <v>8</v>
      </c>
      <c r="DZ26" s="47">
        <v>12.2</v>
      </c>
      <c r="EA26" s="47">
        <v>11.3</v>
      </c>
      <c r="EB26" s="47">
        <v>10.3</v>
      </c>
      <c r="EC26" s="47">
        <v>9.4</v>
      </c>
      <c r="ED26" s="47">
        <v>10.8</v>
      </c>
      <c r="EE26" s="47">
        <v>36.299999999999997</v>
      </c>
      <c r="EF26" s="47">
        <v>34.1</v>
      </c>
      <c r="EG26" s="47">
        <v>30.7</v>
      </c>
      <c r="EH26" s="47">
        <v>27.2</v>
      </c>
      <c r="EI26" s="47">
        <v>32.5</v>
      </c>
      <c r="EJ26" s="47">
        <v>0.71</v>
      </c>
      <c r="EK26" s="47">
        <v>0.8</v>
      </c>
      <c r="EL26" s="47">
        <v>0.66</v>
      </c>
      <c r="EM26" s="47">
        <v>0.67</v>
      </c>
      <c r="EN26" s="47">
        <v>0.63</v>
      </c>
      <c r="EO26" s="47"/>
      <c r="EP26" s="47">
        <v>104</v>
      </c>
      <c r="EQ26" s="47">
        <v>122</v>
      </c>
      <c r="ER26" s="47">
        <v>114</v>
      </c>
      <c r="ES26" s="47">
        <v>100</v>
      </c>
      <c r="ET26" s="47">
        <v>95</v>
      </c>
      <c r="EU26" s="47"/>
      <c r="EV26" s="47"/>
      <c r="EW26" s="47"/>
      <c r="EX26" s="47"/>
      <c r="EY26" s="47"/>
      <c r="EZ26" s="47"/>
      <c r="FA26" s="47">
        <v>0</v>
      </c>
      <c r="FB26" s="48">
        <v>41942</v>
      </c>
      <c r="FC26" s="55">
        <f t="shared" si="18"/>
        <v>7</v>
      </c>
      <c r="FD26" s="47"/>
    </row>
    <row r="27" spans="1:177" s="1" customFormat="1" x14ac:dyDescent="0.25">
      <c r="A27" s="116" t="s">
        <v>238</v>
      </c>
      <c r="B27" s="60" t="s">
        <v>244</v>
      </c>
      <c r="C27" s="213" t="s">
        <v>156</v>
      </c>
      <c r="D27" s="47" t="str">
        <f t="shared" si="0"/>
        <v xml:space="preserve">36 Y 6 M </v>
      </c>
      <c r="E27" s="47">
        <v>2</v>
      </c>
      <c r="F27" s="48">
        <v>28603</v>
      </c>
      <c r="G27" s="48">
        <v>41935</v>
      </c>
      <c r="H27" s="49">
        <v>167.6</v>
      </c>
      <c r="I27" s="49">
        <v>56.7</v>
      </c>
      <c r="J27" s="49">
        <f t="shared" si="11"/>
        <v>59.263861480000003</v>
      </c>
      <c r="K27" s="49">
        <f t="shared" si="12"/>
        <v>20.185291721965587</v>
      </c>
      <c r="L27" s="55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59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4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59">
        <v>0</v>
      </c>
      <c r="AF27" s="59">
        <v>0</v>
      </c>
      <c r="AG27" s="59">
        <v>0</v>
      </c>
      <c r="AH27" s="59">
        <v>0</v>
      </c>
      <c r="AI27" s="47"/>
      <c r="AJ27" s="47"/>
      <c r="AK27" s="49">
        <v>11.5</v>
      </c>
      <c r="AL27" s="47">
        <v>34.700000000000003</v>
      </c>
      <c r="AM27" s="47">
        <v>0.55000000000000004</v>
      </c>
      <c r="AN27" s="47" t="s">
        <v>128</v>
      </c>
      <c r="AO27" s="47"/>
      <c r="AP27" s="49">
        <v>117.5</v>
      </c>
      <c r="AQ27" s="49">
        <v>75.5</v>
      </c>
      <c r="AR27" s="49">
        <f t="shared" si="13"/>
        <v>89.5</v>
      </c>
      <c r="AS27" s="49">
        <f t="shared" si="14"/>
        <v>141</v>
      </c>
      <c r="AT27" s="49">
        <f t="shared" si="15"/>
        <v>94</v>
      </c>
      <c r="AU27" s="50">
        <v>0.31388888888888888</v>
      </c>
      <c r="AV27" s="50">
        <v>0.32222222222222224</v>
      </c>
      <c r="AW27" s="51">
        <v>0.4381944444444445</v>
      </c>
      <c r="AX27" s="51">
        <v>0.22916666666666666</v>
      </c>
      <c r="AY27" s="47">
        <v>8.1</v>
      </c>
      <c r="AZ27" s="47">
        <v>1</v>
      </c>
      <c r="BA27" s="47">
        <v>1000</v>
      </c>
      <c r="BB27" s="47">
        <v>119</v>
      </c>
      <c r="BC27" s="47">
        <v>56</v>
      </c>
      <c r="BD27" s="47">
        <v>76</v>
      </c>
      <c r="BE27" s="47">
        <v>99</v>
      </c>
      <c r="BF27" s="47">
        <v>1</v>
      </c>
      <c r="BG27" s="47">
        <v>80</v>
      </c>
      <c r="BH27" s="47">
        <v>75</v>
      </c>
      <c r="BI27" s="47">
        <v>0.4</v>
      </c>
      <c r="BJ27" s="47">
        <v>10</v>
      </c>
      <c r="BK27" s="47">
        <v>89</v>
      </c>
      <c r="BL27" s="47">
        <v>44</v>
      </c>
      <c r="BM27" s="47">
        <v>59</v>
      </c>
      <c r="BN27" s="47" t="s">
        <v>247</v>
      </c>
      <c r="BO27" s="47" t="s">
        <v>252</v>
      </c>
      <c r="BP27" s="47">
        <v>0</v>
      </c>
      <c r="BQ27" s="47">
        <v>0</v>
      </c>
      <c r="BR27" s="47">
        <v>0</v>
      </c>
      <c r="BS27" s="47">
        <v>80</v>
      </c>
      <c r="BT27" s="47">
        <v>0</v>
      </c>
      <c r="BU27" s="47">
        <v>0</v>
      </c>
      <c r="BV27" s="47">
        <v>0</v>
      </c>
      <c r="BW27" s="47">
        <v>75</v>
      </c>
      <c r="BX27" s="47">
        <v>0</v>
      </c>
      <c r="BY27" s="47">
        <v>650</v>
      </c>
      <c r="BZ27" s="47">
        <v>1300</v>
      </c>
      <c r="CA27" s="47">
        <v>0</v>
      </c>
      <c r="CB27" s="47">
        <v>6</v>
      </c>
      <c r="CC27" s="47">
        <v>5</v>
      </c>
      <c r="CD27" s="47" t="s">
        <v>248</v>
      </c>
      <c r="CE27" s="47" t="s">
        <v>248</v>
      </c>
      <c r="CF27" s="47" t="s">
        <v>248</v>
      </c>
      <c r="CG27" s="47" t="s">
        <v>248</v>
      </c>
      <c r="CH27" s="47" t="s">
        <v>248</v>
      </c>
      <c r="CI27" s="47" t="s">
        <v>248</v>
      </c>
      <c r="CJ27" s="47">
        <v>12</v>
      </c>
      <c r="CK27" s="47">
        <v>9</v>
      </c>
      <c r="CL27" s="47">
        <v>90</v>
      </c>
      <c r="CM27" s="47">
        <v>9</v>
      </c>
      <c r="CN27" s="47">
        <v>90</v>
      </c>
      <c r="CO27" s="47">
        <v>0</v>
      </c>
      <c r="CP27" s="47">
        <v>1</v>
      </c>
      <c r="CQ27" s="47">
        <v>0</v>
      </c>
      <c r="CR27" s="47">
        <v>0</v>
      </c>
      <c r="CS27" s="47">
        <v>0</v>
      </c>
      <c r="CT27" s="47">
        <v>0</v>
      </c>
      <c r="CU27" s="47">
        <v>50</v>
      </c>
      <c r="CV27" s="47">
        <f t="shared" si="10"/>
        <v>1950</v>
      </c>
      <c r="CW27" s="230">
        <v>0.43194444444444446</v>
      </c>
      <c r="CX27" s="230">
        <v>0.54166666666666663</v>
      </c>
      <c r="CY27" s="51">
        <f t="shared" si="16"/>
        <v>0.10972222222222217</v>
      </c>
      <c r="CZ27" s="55">
        <f t="shared" si="9"/>
        <v>157.99999999999991</v>
      </c>
      <c r="DA27" s="47">
        <v>112</v>
      </c>
      <c r="DB27" s="47">
        <v>56</v>
      </c>
      <c r="DC27" s="49">
        <f t="shared" si="17"/>
        <v>74.666666666666671</v>
      </c>
      <c r="DD27" s="47">
        <v>80</v>
      </c>
      <c r="DE27" s="47">
        <v>1</v>
      </c>
      <c r="DF27" s="47">
        <v>1</v>
      </c>
      <c r="DG27" s="47">
        <v>1</v>
      </c>
      <c r="DH27" s="47">
        <v>1</v>
      </c>
      <c r="DI27" s="47"/>
      <c r="DJ27" s="47"/>
      <c r="DK27" s="47"/>
      <c r="DL27" s="47"/>
      <c r="DM27" s="47"/>
      <c r="DN27" s="47">
        <v>3</v>
      </c>
      <c r="DO27" s="47">
        <v>3</v>
      </c>
      <c r="DP27" s="47">
        <v>4</v>
      </c>
      <c r="DQ27" s="47">
        <v>4</v>
      </c>
      <c r="DR27" s="47">
        <v>8</v>
      </c>
      <c r="DS27" s="47">
        <v>8</v>
      </c>
      <c r="DT27" s="47">
        <v>2</v>
      </c>
      <c r="DU27" s="47">
        <v>3</v>
      </c>
      <c r="DV27" s="47">
        <v>5</v>
      </c>
      <c r="DW27" s="47">
        <v>5</v>
      </c>
      <c r="DX27" s="47">
        <v>7</v>
      </c>
      <c r="DZ27" s="47">
        <v>10.3</v>
      </c>
      <c r="EA27" s="47"/>
      <c r="EB27" s="47">
        <v>9.1</v>
      </c>
      <c r="EC27" s="47">
        <v>9.5</v>
      </c>
      <c r="ED27" s="47">
        <v>9.6</v>
      </c>
      <c r="EE27" s="47">
        <v>31.4</v>
      </c>
      <c r="EF27" s="47"/>
      <c r="EG27" s="47">
        <v>28.2</v>
      </c>
      <c r="EH27" s="47">
        <v>29.9</v>
      </c>
      <c r="EI27" s="47">
        <v>29.5</v>
      </c>
      <c r="EJ27" s="47">
        <v>0.66</v>
      </c>
      <c r="EK27" s="47"/>
      <c r="EL27" s="47">
        <v>0.53</v>
      </c>
      <c r="EM27" s="47">
        <v>0.52</v>
      </c>
      <c r="EN27" s="47">
        <v>0.56000000000000005</v>
      </c>
      <c r="EO27" s="47"/>
      <c r="EP27" s="47">
        <v>207</v>
      </c>
      <c r="EQ27" s="47"/>
      <c r="ER27" s="47">
        <v>102</v>
      </c>
      <c r="ES27" s="47">
        <v>80</v>
      </c>
      <c r="ET27" s="47">
        <v>105</v>
      </c>
      <c r="EU27" s="47"/>
      <c r="EV27" s="47"/>
      <c r="EW27" s="47"/>
      <c r="EX27" s="47"/>
      <c r="EY27" s="47"/>
      <c r="EZ27" s="47"/>
      <c r="FA27" s="47">
        <v>0</v>
      </c>
      <c r="FB27" s="48">
        <v>41946</v>
      </c>
      <c r="FC27" s="55">
        <f t="shared" si="18"/>
        <v>11</v>
      </c>
      <c r="FD27" s="47" t="s">
        <v>257</v>
      </c>
    </row>
    <row r="28" spans="1:177" s="1" customFormat="1" x14ac:dyDescent="0.25">
      <c r="A28" s="116" t="s">
        <v>233</v>
      </c>
      <c r="B28" s="56" t="s">
        <v>243</v>
      </c>
      <c r="C28" s="213" t="s">
        <v>156</v>
      </c>
      <c r="D28" s="47" t="str">
        <f t="shared" si="0"/>
        <v xml:space="preserve">44 Y 8 M </v>
      </c>
      <c r="E28" s="47">
        <v>1</v>
      </c>
      <c r="F28" s="48">
        <v>25608</v>
      </c>
      <c r="G28" s="48">
        <v>41943</v>
      </c>
      <c r="H28" s="49">
        <v>172.6</v>
      </c>
      <c r="I28" s="49">
        <v>91</v>
      </c>
      <c r="J28" s="49">
        <f t="shared" si="11"/>
        <v>68.291422979999993</v>
      </c>
      <c r="K28" s="49">
        <f t="shared" si="12"/>
        <v>30.54638418086682</v>
      </c>
      <c r="L28" s="55">
        <v>1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4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59">
        <v>0</v>
      </c>
      <c r="AF28" s="59">
        <v>0</v>
      </c>
      <c r="AG28" s="59">
        <v>0</v>
      </c>
      <c r="AH28" s="59">
        <v>0</v>
      </c>
      <c r="AI28" s="47"/>
      <c r="AJ28" s="47"/>
      <c r="AK28" s="49">
        <v>13.9</v>
      </c>
      <c r="AL28" s="47">
        <v>39.799999999999997</v>
      </c>
      <c r="AM28" s="47">
        <v>0.81</v>
      </c>
      <c r="AN28" s="47" t="s">
        <v>128</v>
      </c>
      <c r="AO28" s="47"/>
      <c r="AP28" s="49">
        <v>127.75</v>
      </c>
      <c r="AQ28" s="49">
        <v>92.25</v>
      </c>
      <c r="AR28" s="49">
        <f t="shared" si="13"/>
        <v>104.08333333333333</v>
      </c>
      <c r="AS28" s="49">
        <f t="shared" si="14"/>
        <v>153.30000000000001</v>
      </c>
      <c r="AT28" s="49">
        <f t="shared" si="15"/>
        <v>102.2</v>
      </c>
      <c r="AU28" s="50">
        <v>0.41388888888888892</v>
      </c>
      <c r="AV28" s="50">
        <v>0.41736111111111113</v>
      </c>
      <c r="AW28" s="51">
        <v>0.59375</v>
      </c>
      <c r="AX28" s="51">
        <v>0.33333333333333331</v>
      </c>
      <c r="AY28" s="47">
        <v>8.1</v>
      </c>
      <c r="AZ28" s="47">
        <v>1</v>
      </c>
      <c r="BA28" s="47">
        <v>1000</v>
      </c>
      <c r="BB28" s="47">
        <v>146</v>
      </c>
      <c r="BC28" s="47">
        <v>91</v>
      </c>
      <c r="BD28" s="47">
        <v>107</v>
      </c>
      <c r="BE28" s="47">
        <v>63</v>
      </c>
      <c r="BF28" s="47">
        <v>1</v>
      </c>
      <c r="BG28" s="47">
        <v>250</v>
      </c>
      <c r="BH28" s="47">
        <v>100</v>
      </c>
      <c r="BI28" s="47">
        <v>0.6</v>
      </c>
      <c r="BJ28" s="47">
        <v>13</v>
      </c>
      <c r="BK28" s="47">
        <v>80</v>
      </c>
      <c r="BL28" s="47">
        <v>56</v>
      </c>
      <c r="BM28" s="47">
        <v>65</v>
      </c>
      <c r="BN28" s="47" t="s">
        <v>247</v>
      </c>
      <c r="BO28" s="47" t="s">
        <v>252</v>
      </c>
      <c r="BP28" s="47">
        <v>0</v>
      </c>
      <c r="BQ28" s="47">
        <v>0</v>
      </c>
      <c r="BR28" s="47">
        <v>0</v>
      </c>
      <c r="BS28" s="47">
        <v>120</v>
      </c>
      <c r="BT28" s="47">
        <v>0</v>
      </c>
      <c r="BU28" s="47">
        <v>0</v>
      </c>
      <c r="BV28" s="47">
        <v>0</v>
      </c>
      <c r="BW28" s="47">
        <v>150</v>
      </c>
      <c r="BX28" s="47">
        <v>0</v>
      </c>
      <c r="BY28" s="47">
        <v>1388</v>
      </c>
      <c r="BZ28" s="47">
        <v>500</v>
      </c>
      <c r="CA28" s="47">
        <v>1750</v>
      </c>
      <c r="CB28" s="47">
        <v>14</v>
      </c>
      <c r="CC28" s="47">
        <v>18</v>
      </c>
      <c r="CD28" s="47" t="s">
        <v>248</v>
      </c>
      <c r="CE28" s="47" t="s">
        <v>249</v>
      </c>
      <c r="CF28" s="47" t="s">
        <v>249</v>
      </c>
      <c r="CG28" s="47" t="s">
        <v>249</v>
      </c>
      <c r="CH28" s="47" t="s">
        <v>249</v>
      </c>
      <c r="CI28" s="47" t="s">
        <v>249</v>
      </c>
      <c r="CJ28" s="47">
        <v>10</v>
      </c>
      <c r="CK28" s="47">
        <v>12.3</v>
      </c>
      <c r="CL28" s="47">
        <v>105</v>
      </c>
      <c r="CM28" s="47">
        <v>10.1</v>
      </c>
      <c r="CN28" s="47">
        <v>159</v>
      </c>
      <c r="CO28" s="47">
        <v>0</v>
      </c>
      <c r="CP28" s="47">
        <v>1</v>
      </c>
      <c r="CQ28" s="47">
        <v>0</v>
      </c>
      <c r="CR28" s="47">
        <v>0</v>
      </c>
      <c r="CS28" s="47">
        <v>0</v>
      </c>
      <c r="CT28" s="47">
        <v>0</v>
      </c>
      <c r="CU28" s="47">
        <v>1700</v>
      </c>
      <c r="CV28" s="47">
        <f t="shared" si="10"/>
        <v>1888</v>
      </c>
      <c r="CW28" s="230">
        <v>0.58888888888888891</v>
      </c>
      <c r="CX28" s="230">
        <v>0.68055555555555547</v>
      </c>
      <c r="CY28" s="51">
        <f t="shared" si="16"/>
        <v>9.1666666666666563E-2</v>
      </c>
      <c r="CZ28" s="55">
        <f t="shared" si="9"/>
        <v>131.99999999999986</v>
      </c>
      <c r="DA28" s="47">
        <v>164</v>
      </c>
      <c r="DB28" s="47">
        <v>87</v>
      </c>
      <c r="DC28" s="49">
        <f t="shared" si="17"/>
        <v>112.66666666666667</v>
      </c>
      <c r="DD28" s="47">
        <v>83</v>
      </c>
      <c r="DE28" s="47">
        <v>3</v>
      </c>
      <c r="DF28" s="47">
        <v>1</v>
      </c>
      <c r="DG28" s="47">
        <v>1</v>
      </c>
      <c r="DH28" s="47">
        <v>1</v>
      </c>
      <c r="DI28" s="47"/>
      <c r="DJ28" s="47"/>
      <c r="DK28" s="47"/>
      <c r="DL28" s="47"/>
      <c r="DM28" s="47"/>
      <c r="DN28" s="47">
        <v>4</v>
      </c>
      <c r="DO28" s="47">
        <v>3</v>
      </c>
      <c r="DP28" s="47">
        <v>4</v>
      </c>
      <c r="DQ28" s="47">
        <v>4</v>
      </c>
      <c r="DR28" s="47">
        <v>5</v>
      </c>
      <c r="DS28" s="47">
        <v>7</v>
      </c>
      <c r="DT28" s="47">
        <v>5</v>
      </c>
      <c r="DU28" s="47">
        <v>4</v>
      </c>
      <c r="DV28" s="47">
        <v>4</v>
      </c>
      <c r="DW28" s="47">
        <v>6</v>
      </c>
      <c r="DX28" s="47">
        <v>2</v>
      </c>
      <c r="DZ28" s="47">
        <v>9.4</v>
      </c>
      <c r="EA28" s="47">
        <v>7.4</v>
      </c>
      <c r="EB28" s="47">
        <v>7.9</v>
      </c>
      <c r="EC28" s="47">
        <v>6.8</v>
      </c>
      <c r="ED28" s="47">
        <v>8.4</v>
      </c>
      <c r="EE28" s="47">
        <v>27.8</v>
      </c>
      <c r="EF28" s="47">
        <v>21.8</v>
      </c>
      <c r="EG28" s="47">
        <v>22.9</v>
      </c>
      <c r="EH28" s="47">
        <v>20.3</v>
      </c>
      <c r="EI28" s="47">
        <v>24.7</v>
      </c>
      <c r="EJ28" s="47">
        <v>1.06</v>
      </c>
      <c r="EK28" s="47">
        <v>1.31</v>
      </c>
      <c r="EL28" s="47">
        <v>1.1399999999999999</v>
      </c>
      <c r="EM28" s="47">
        <v>0.99</v>
      </c>
      <c r="EN28" s="47">
        <v>1.05</v>
      </c>
      <c r="EO28" s="47">
        <v>157</v>
      </c>
      <c r="EP28" s="47">
        <v>132</v>
      </c>
      <c r="EQ28" s="47">
        <v>154</v>
      </c>
      <c r="ER28" s="47">
        <v>167</v>
      </c>
      <c r="ES28" s="47">
        <v>143</v>
      </c>
      <c r="ET28" s="47">
        <v>105</v>
      </c>
      <c r="EU28" s="47"/>
      <c r="EV28" s="47"/>
      <c r="EW28" s="47"/>
      <c r="EX28" s="47"/>
      <c r="EY28" s="47"/>
      <c r="EZ28" s="47"/>
      <c r="FA28" s="47">
        <v>0</v>
      </c>
      <c r="FB28" s="48">
        <v>41949</v>
      </c>
      <c r="FC28" s="55">
        <f t="shared" si="18"/>
        <v>6</v>
      </c>
      <c r="FD28" s="47"/>
    </row>
    <row r="29" spans="1:177" s="1" customFormat="1" x14ac:dyDescent="0.25">
      <c r="A29" s="116" t="s">
        <v>250</v>
      </c>
      <c r="B29" s="61" t="s">
        <v>251</v>
      </c>
      <c r="C29" s="47" t="s">
        <v>156</v>
      </c>
      <c r="D29" s="47" t="str">
        <f t="shared" si="0"/>
        <v xml:space="preserve">61 Y 5 M </v>
      </c>
      <c r="E29" s="47">
        <v>2</v>
      </c>
      <c r="F29" s="48">
        <v>19486</v>
      </c>
      <c r="G29" s="48">
        <v>41949</v>
      </c>
      <c r="H29" s="49">
        <v>157.5</v>
      </c>
      <c r="I29" s="49">
        <v>78.900000000000006</v>
      </c>
      <c r="J29" s="49">
        <f t="shared" si="11"/>
        <v>50.118187250000005</v>
      </c>
      <c r="K29" s="49">
        <f t="shared" si="12"/>
        <v>31.806500377928952</v>
      </c>
      <c r="L29" s="55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59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4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59">
        <v>0</v>
      </c>
      <c r="AF29" s="59">
        <v>0</v>
      </c>
      <c r="AG29" s="59">
        <v>0</v>
      </c>
      <c r="AH29" s="59">
        <v>0</v>
      </c>
      <c r="AI29" s="47"/>
      <c r="AJ29" s="47"/>
      <c r="AK29" s="49">
        <v>14.6</v>
      </c>
      <c r="AL29" s="47">
        <v>42.9</v>
      </c>
      <c r="AM29" s="47">
        <v>0.83</v>
      </c>
      <c r="AN29" s="47" t="s">
        <v>128</v>
      </c>
      <c r="AO29" s="47"/>
      <c r="AP29" s="49">
        <v>145</v>
      </c>
      <c r="AQ29" s="49">
        <v>76</v>
      </c>
      <c r="AR29" s="49">
        <f t="shared" si="13"/>
        <v>99</v>
      </c>
      <c r="AS29" s="49">
        <f t="shared" si="14"/>
        <v>174</v>
      </c>
      <c r="AT29" s="49">
        <f t="shared" si="15"/>
        <v>116</v>
      </c>
      <c r="AU29" s="50">
        <v>0.41250000000000003</v>
      </c>
      <c r="AV29" s="50">
        <v>0.41805555555555557</v>
      </c>
      <c r="AW29" s="51">
        <v>0.53819444444444442</v>
      </c>
      <c r="AX29" s="51">
        <v>0.33333333333333331</v>
      </c>
      <c r="AY29" s="47">
        <v>8.1</v>
      </c>
      <c r="AZ29" s="47">
        <v>1</v>
      </c>
      <c r="BA29" s="47">
        <v>1000</v>
      </c>
      <c r="BB29" s="47">
        <v>117</v>
      </c>
      <c r="BC29" s="47">
        <v>91</v>
      </c>
      <c r="BD29" s="47">
        <v>98</v>
      </c>
      <c r="BE29" s="47">
        <v>74</v>
      </c>
      <c r="BF29" s="47">
        <v>1</v>
      </c>
      <c r="BG29" s="47">
        <v>100</v>
      </c>
      <c r="BH29" s="47">
        <v>100</v>
      </c>
      <c r="BI29" s="47">
        <v>0</v>
      </c>
      <c r="BJ29" s="47">
        <v>10</v>
      </c>
      <c r="BK29" s="47">
        <v>105</v>
      </c>
      <c r="BL29" s="47">
        <v>55</v>
      </c>
      <c r="BM29" s="47">
        <v>75</v>
      </c>
      <c r="BN29" s="47"/>
      <c r="BO29" s="47">
        <v>2</v>
      </c>
      <c r="BP29" s="47">
        <v>0</v>
      </c>
      <c r="BQ29" s="47">
        <v>0</v>
      </c>
      <c r="BR29" s="47">
        <v>0</v>
      </c>
      <c r="BS29" s="47">
        <v>80</v>
      </c>
      <c r="BT29" s="47">
        <v>0</v>
      </c>
      <c r="BU29" s="47">
        <v>0</v>
      </c>
      <c r="BV29" s="47">
        <v>0</v>
      </c>
      <c r="BW29" s="47">
        <v>100</v>
      </c>
      <c r="BX29" s="47">
        <v>0.5</v>
      </c>
      <c r="BY29" s="47">
        <v>500</v>
      </c>
      <c r="BZ29" s="47">
        <v>750</v>
      </c>
      <c r="CA29" s="47">
        <v>0</v>
      </c>
      <c r="CB29" s="47">
        <v>29</v>
      </c>
      <c r="CC29" s="47"/>
      <c r="CD29" s="47"/>
      <c r="CE29" s="47"/>
      <c r="CF29" s="47"/>
      <c r="CG29" s="47"/>
      <c r="CH29" s="47"/>
      <c r="CI29" s="47"/>
      <c r="CJ29" s="47">
        <v>7</v>
      </c>
      <c r="CK29" s="47">
        <v>11.6</v>
      </c>
      <c r="CL29" s="47">
        <v>115</v>
      </c>
      <c r="CM29" s="47">
        <v>11.6</v>
      </c>
      <c r="CN29" s="47">
        <v>115</v>
      </c>
      <c r="CO29" s="47">
        <v>0</v>
      </c>
      <c r="CP29" s="47">
        <v>1</v>
      </c>
      <c r="CQ29" s="47">
        <v>1</v>
      </c>
      <c r="CR29" s="47">
        <v>100</v>
      </c>
      <c r="CS29" s="47">
        <v>0</v>
      </c>
      <c r="CT29" s="47">
        <v>0</v>
      </c>
      <c r="CU29" s="47">
        <v>50</v>
      </c>
      <c r="CV29" s="47">
        <f t="shared" si="10"/>
        <v>1250</v>
      </c>
      <c r="CW29" s="230">
        <v>0.52777777777777779</v>
      </c>
      <c r="CX29" s="230">
        <v>0.58333333333333337</v>
      </c>
      <c r="CY29" s="51">
        <f t="shared" si="16"/>
        <v>5.555555555555558E-2</v>
      </c>
      <c r="CZ29" s="55">
        <f t="shared" si="9"/>
        <v>80.000000000000028</v>
      </c>
      <c r="DA29" s="47">
        <v>158</v>
      </c>
      <c r="DB29" s="47">
        <v>79</v>
      </c>
      <c r="DC29" s="49">
        <f t="shared" si="17"/>
        <v>105.33333333333333</v>
      </c>
      <c r="DD29" s="47">
        <v>67</v>
      </c>
      <c r="DE29" s="47">
        <v>2</v>
      </c>
      <c r="DF29" s="47">
        <v>1</v>
      </c>
      <c r="DG29" s="47">
        <v>1</v>
      </c>
      <c r="DH29" s="47">
        <v>1</v>
      </c>
      <c r="DI29" s="47"/>
      <c r="DJ29" s="47"/>
      <c r="DK29" s="47"/>
      <c r="DL29" s="47"/>
      <c r="DM29" s="47"/>
      <c r="DN29" s="47">
        <v>3</v>
      </c>
      <c r="DO29" s="47">
        <v>2</v>
      </c>
      <c r="DP29" s="47">
        <v>4</v>
      </c>
      <c r="DQ29" s="47">
        <v>3</v>
      </c>
      <c r="DR29" s="47">
        <v>8</v>
      </c>
      <c r="DS29" s="47">
        <v>6</v>
      </c>
      <c r="DT29" s="47">
        <v>4</v>
      </c>
      <c r="DU29" s="47">
        <v>2</v>
      </c>
      <c r="DV29" s="47">
        <v>2</v>
      </c>
      <c r="DW29" s="47"/>
      <c r="DX29" s="47"/>
      <c r="DZ29" s="47">
        <v>12.6</v>
      </c>
      <c r="EA29" s="47"/>
      <c r="EB29" s="47">
        <v>11.9</v>
      </c>
      <c r="EC29" s="47">
        <v>11.7</v>
      </c>
      <c r="ED29" s="47">
        <v>10.7</v>
      </c>
      <c r="EE29" s="47">
        <v>36.9</v>
      </c>
      <c r="EF29" s="47"/>
      <c r="EG29" s="47">
        <v>35.6</v>
      </c>
      <c r="EH29" s="47">
        <v>34.4</v>
      </c>
      <c r="EI29" s="47">
        <v>31.1</v>
      </c>
      <c r="EJ29" s="47">
        <v>0.69</v>
      </c>
      <c r="EK29" s="47"/>
      <c r="EL29" s="47">
        <v>0.54</v>
      </c>
      <c r="EM29" s="47">
        <v>0.46</v>
      </c>
      <c r="EN29" s="47">
        <v>0.62</v>
      </c>
      <c r="EO29" s="47"/>
      <c r="EP29" s="47">
        <v>93</v>
      </c>
      <c r="EQ29" s="47"/>
      <c r="ER29" s="47">
        <v>108</v>
      </c>
      <c r="ES29" s="47">
        <v>92</v>
      </c>
      <c r="ET29" s="47">
        <v>86</v>
      </c>
      <c r="EU29" s="47"/>
      <c r="EV29" s="47"/>
      <c r="EW29" s="47"/>
      <c r="EX29" s="47"/>
      <c r="EY29" s="47"/>
      <c r="EZ29" s="47"/>
      <c r="FA29" s="47">
        <v>0</v>
      </c>
      <c r="FB29" s="48">
        <v>41954</v>
      </c>
      <c r="FC29" s="55">
        <f t="shared" si="18"/>
        <v>5</v>
      </c>
      <c r="FD29" s="47"/>
    </row>
    <row r="30" spans="1:177" s="1" customFormat="1" x14ac:dyDescent="0.25">
      <c r="A30" s="116" t="s">
        <v>256</v>
      </c>
      <c r="B30" s="55">
        <v>100034610871</v>
      </c>
      <c r="C30" s="47" t="s">
        <v>156</v>
      </c>
      <c r="D30" s="47" t="str">
        <f t="shared" si="0"/>
        <v xml:space="preserve">75 Y 9 M </v>
      </c>
      <c r="E30" s="47">
        <v>1</v>
      </c>
      <c r="F30" s="48">
        <v>14282</v>
      </c>
      <c r="G30" s="48">
        <v>41963</v>
      </c>
      <c r="H30" s="49">
        <v>178.3</v>
      </c>
      <c r="I30" s="49">
        <v>87</v>
      </c>
      <c r="J30" s="49">
        <f t="shared" si="11"/>
        <v>73.45284309000003</v>
      </c>
      <c r="K30" s="49">
        <f t="shared" si="12"/>
        <v>27.366330417298787</v>
      </c>
      <c r="L30" s="55">
        <v>0</v>
      </c>
      <c r="M30" s="59">
        <v>1</v>
      </c>
      <c r="N30" s="59">
        <v>1</v>
      </c>
      <c r="O30" s="59">
        <v>0</v>
      </c>
      <c r="P30" s="59">
        <v>0</v>
      </c>
      <c r="Q30" s="59">
        <v>1</v>
      </c>
      <c r="R30" s="59">
        <v>1</v>
      </c>
      <c r="S30" s="59">
        <v>20</v>
      </c>
      <c r="T30" s="59">
        <v>0</v>
      </c>
      <c r="U30" s="59">
        <v>0</v>
      </c>
      <c r="V30" s="59">
        <v>0</v>
      </c>
      <c r="W30" s="59">
        <v>1</v>
      </c>
      <c r="X30" s="59">
        <v>5</v>
      </c>
      <c r="Y30" s="49">
        <v>12.5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59">
        <v>0</v>
      </c>
      <c r="AF30" s="59">
        <v>0</v>
      </c>
      <c r="AG30" s="59">
        <v>0</v>
      </c>
      <c r="AH30" s="59">
        <v>0</v>
      </c>
      <c r="AI30" s="47"/>
      <c r="AJ30" s="47"/>
      <c r="AK30" s="49">
        <v>14.1</v>
      </c>
      <c r="AL30" s="47">
        <v>41</v>
      </c>
      <c r="AM30" s="47">
        <v>0.93</v>
      </c>
      <c r="AN30" s="47" t="s">
        <v>128</v>
      </c>
      <c r="AO30" s="47"/>
      <c r="AP30" s="49">
        <v>156.25</v>
      </c>
      <c r="AQ30" s="49">
        <v>83.25</v>
      </c>
      <c r="AR30" s="49">
        <f t="shared" si="13"/>
        <v>107.58333333333333</v>
      </c>
      <c r="AS30" s="49">
        <f t="shared" si="14"/>
        <v>187.5</v>
      </c>
      <c r="AT30" s="49">
        <f t="shared" si="15"/>
        <v>125</v>
      </c>
      <c r="AU30" s="50">
        <v>0.31875000000000003</v>
      </c>
      <c r="AV30" s="50">
        <v>0.33124999999999999</v>
      </c>
      <c r="AW30" s="51">
        <v>0.4777777777777778</v>
      </c>
      <c r="AX30" s="51">
        <v>0.24305555555555555</v>
      </c>
      <c r="AY30" s="47">
        <v>9</v>
      </c>
      <c r="AZ30" s="47">
        <v>1</v>
      </c>
      <c r="BA30" s="47">
        <v>1000</v>
      </c>
      <c r="BB30" s="47">
        <v>159</v>
      </c>
      <c r="BC30" s="47">
        <v>69</v>
      </c>
      <c r="BD30" s="47">
        <v>99</v>
      </c>
      <c r="BE30" s="47">
        <v>48</v>
      </c>
      <c r="BF30" s="47">
        <v>1</v>
      </c>
      <c r="BG30" s="47">
        <v>140</v>
      </c>
      <c r="BH30" s="47">
        <v>100</v>
      </c>
      <c r="BI30" s="47">
        <v>0.5</v>
      </c>
      <c r="BJ30" s="47">
        <v>14</v>
      </c>
      <c r="BK30" s="47">
        <v>85</v>
      </c>
      <c r="BL30" s="47">
        <v>44</v>
      </c>
      <c r="BM30" s="47">
        <v>56</v>
      </c>
      <c r="BN30" s="47">
        <v>1</v>
      </c>
      <c r="BO30" s="47" t="s">
        <v>252</v>
      </c>
      <c r="BP30" s="47">
        <v>0.4</v>
      </c>
      <c r="BQ30" s="47">
        <v>0</v>
      </c>
      <c r="BR30" s="47">
        <v>0</v>
      </c>
      <c r="BS30" s="47">
        <v>640</v>
      </c>
      <c r="BT30" s="47">
        <v>20</v>
      </c>
      <c r="BU30" s="47">
        <v>0</v>
      </c>
      <c r="BV30" s="47">
        <v>0</v>
      </c>
      <c r="BW30" s="47">
        <v>100</v>
      </c>
      <c r="BX30" s="47">
        <v>0</v>
      </c>
      <c r="BY30" s="47">
        <v>1159</v>
      </c>
      <c r="BZ30" s="47">
        <v>500</v>
      </c>
      <c r="CA30" s="47">
        <v>750</v>
      </c>
      <c r="CB30" s="47">
        <v>11</v>
      </c>
      <c r="CC30" s="47">
        <v>16</v>
      </c>
      <c r="CD30" s="47"/>
      <c r="CE30" s="47"/>
      <c r="CF30" s="47"/>
      <c r="CG30" s="47"/>
      <c r="CH30" s="47"/>
      <c r="CI30" s="47"/>
      <c r="CJ30" s="47">
        <v>16</v>
      </c>
      <c r="CK30" s="47">
        <v>12.6</v>
      </c>
      <c r="CL30" s="47">
        <v>210</v>
      </c>
      <c r="CM30" s="47">
        <v>11.5</v>
      </c>
      <c r="CN30" s="47">
        <v>210</v>
      </c>
      <c r="CO30" s="47">
        <v>0</v>
      </c>
      <c r="CP30" s="47">
        <v>1</v>
      </c>
      <c r="CQ30" s="47">
        <v>0</v>
      </c>
      <c r="CR30" s="47">
        <v>0</v>
      </c>
      <c r="CS30" s="47">
        <v>0</v>
      </c>
      <c r="CT30" s="47">
        <v>0</v>
      </c>
      <c r="CU30" s="47">
        <v>200</v>
      </c>
      <c r="CV30" s="47">
        <f t="shared" si="10"/>
        <v>1659</v>
      </c>
      <c r="CW30" s="230">
        <v>0.47152777777777777</v>
      </c>
      <c r="CX30" s="230">
        <v>0.53125</v>
      </c>
      <c r="CY30" s="51">
        <f t="shared" si="16"/>
        <v>5.9722222222222232E-2</v>
      </c>
      <c r="CZ30" s="55">
        <f t="shared" si="9"/>
        <v>86.000000000000014</v>
      </c>
      <c r="DA30" s="47">
        <v>102</v>
      </c>
      <c r="DB30" s="47">
        <v>49</v>
      </c>
      <c r="DC30" s="49">
        <f t="shared" si="17"/>
        <v>66.666666666666671</v>
      </c>
      <c r="DD30" s="47">
        <v>68</v>
      </c>
      <c r="DE30" s="47">
        <v>4</v>
      </c>
      <c r="DF30" s="47">
        <v>1</v>
      </c>
      <c r="DG30" s="47">
        <v>1</v>
      </c>
      <c r="DH30" s="47">
        <v>1</v>
      </c>
      <c r="DI30" s="47"/>
      <c r="DJ30" s="47"/>
      <c r="DK30" s="47"/>
      <c r="DL30" s="47"/>
      <c r="DM30" s="47"/>
      <c r="DN30" s="47">
        <v>3</v>
      </c>
      <c r="DO30" s="47">
        <v>3</v>
      </c>
      <c r="DP30" s="47">
        <v>4</v>
      </c>
      <c r="DQ30" s="47">
        <v>5</v>
      </c>
      <c r="DR30" s="47">
        <v>0</v>
      </c>
      <c r="DS30" s="47" t="s">
        <v>263</v>
      </c>
      <c r="DT30" s="47" t="s">
        <v>264</v>
      </c>
      <c r="DU30" s="47" t="s">
        <v>263</v>
      </c>
      <c r="DV30" s="47" t="s">
        <v>263</v>
      </c>
      <c r="DW30" s="47" t="s">
        <v>263</v>
      </c>
      <c r="DX30" s="47">
        <v>0</v>
      </c>
      <c r="DZ30" s="47">
        <v>11.9</v>
      </c>
      <c r="EA30" s="47">
        <v>11.7</v>
      </c>
      <c r="EB30" s="47">
        <v>11.6</v>
      </c>
      <c r="EC30" s="47">
        <v>10.4</v>
      </c>
      <c r="ED30" s="47">
        <v>10.199999999999999</v>
      </c>
      <c r="EE30" s="47">
        <v>36.5</v>
      </c>
      <c r="EF30" s="47">
        <v>36.200000000000003</v>
      </c>
      <c r="EG30" s="47">
        <v>35.700000000000003</v>
      </c>
      <c r="EH30" s="47">
        <v>31.8</v>
      </c>
      <c r="EI30" s="47">
        <v>31.1</v>
      </c>
      <c r="EJ30" s="47">
        <v>0.97</v>
      </c>
      <c r="EK30" s="47">
        <v>0.92</v>
      </c>
      <c r="EL30" s="47">
        <v>0.81</v>
      </c>
      <c r="EM30" s="47">
        <v>0.74</v>
      </c>
      <c r="EN30" s="47">
        <v>0.81</v>
      </c>
      <c r="EO30" s="47">
        <v>248</v>
      </c>
      <c r="EP30" s="47">
        <v>225</v>
      </c>
      <c r="EQ30" s="47">
        <v>209</v>
      </c>
      <c r="ER30" s="47">
        <v>304</v>
      </c>
      <c r="ES30" s="47">
        <v>195</v>
      </c>
      <c r="ET30" s="47">
        <v>173</v>
      </c>
      <c r="EU30" s="47"/>
      <c r="EV30" s="47"/>
      <c r="EW30" s="47"/>
      <c r="EX30" s="47"/>
      <c r="EY30" s="47"/>
      <c r="EZ30" s="47"/>
      <c r="FA30" s="47">
        <v>0</v>
      </c>
      <c r="FB30" s="48">
        <v>41969</v>
      </c>
      <c r="FC30" s="55">
        <f t="shared" si="18"/>
        <v>6</v>
      </c>
      <c r="FD30" s="47"/>
    </row>
    <row r="31" spans="1:177" s="197" customFormat="1" x14ac:dyDescent="0.25">
      <c r="A31" s="210" t="s">
        <v>378</v>
      </c>
      <c r="B31" s="198" t="s">
        <v>377</v>
      </c>
      <c r="C31" s="199" t="s">
        <v>157</v>
      </c>
      <c r="D31" s="199" t="str">
        <f t="shared" si="0"/>
        <v xml:space="preserve">70 Y 11 M </v>
      </c>
      <c r="E31" s="199">
        <v>2</v>
      </c>
      <c r="F31" s="200">
        <v>16413</v>
      </c>
      <c r="G31" s="200">
        <v>42343</v>
      </c>
      <c r="H31" s="201">
        <v>161</v>
      </c>
      <c r="I31" s="201">
        <v>75</v>
      </c>
      <c r="J31" s="201">
        <f t="shared" si="11"/>
        <v>53.287480300000013</v>
      </c>
      <c r="K31" s="201">
        <f t="shared" si="12"/>
        <v>28.934068901662741</v>
      </c>
      <c r="L31" s="202">
        <v>1</v>
      </c>
      <c r="M31" s="199">
        <v>1</v>
      </c>
      <c r="N31" s="199">
        <v>0</v>
      </c>
      <c r="O31" s="199">
        <v>0</v>
      </c>
      <c r="P31" s="199">
        <v>0</v>
      </c>
      <c r="Q31" s="199">
        <v>0</v>
      </c>
      <c r="R31" s="199">
        <v>0</v>
      </c>
      <c r="S31" s="199">
        <v>0</v>
      </c>
      <c r="T31" s="199">
        <v>1</v>
      </c>
      <c r="U31" s="199">
        <v>3</v>
      </c>
      <c r="V31" s="199">
        <v>160</v>
      </c>
      <c r="W31" s="199">
        <v>0</v>
      </c>
      <c r="X31" s="199">
        <v>0</v>
      </c>
      <c r="Y31" s="199">
        <v>0</v>
      </c>
      <c r="Z31" s="199">
        <v>1</v>
      </c>
      <c r="AA31" s="199">
        <v>1</v>
      </c>
      <c r="AB31" s="199">
        <v>10</v>
      </c>
      <c r="AC31" s="199">
        <v>0</v>
      </c>
      <c r="AD31" s="199">
        <v>0</v>
      </c>
      <c r="AE31" s="199">
        <v>0</v>
      </c>
      <c r="AF31" s="199">
        <v>1</v>
      </c>
      <c r="AG31" s="199">
        <v>2</v>
      </c>
      <c r="AH31" s="199">
        <v>40</v>
      </c>
      <c r="AI31" s="199"/>
      <c r="AJ31" s="199"/>
      <c r="AK31" s="201">
        <v>9.9</v>
      </c>
      <c r="AL31" s="199">
        <v>31.3</v>
      </c>
      <c r="AM31" s="199">
        <v>1.58</v>
      </c>
      <c r="AN31" s="199">
        <v>39</v>
      </c>
      <c r="AO31" s="199"/>
      <c r="AP31" s="201">
        <v>118</v>
      </c>
      <c r="AQ31" s="201">
        <v>71.5</v>
      </c>
      <c r="AR31" s="201">
        <f t="shared" si="13"/>
        <v>87</v>
      </c>
      <c r="AS31" s="201">
        <f t="shared" si="14"/>
        <v>141.6</v>
      </c>
      <c r="AT31" s="201">
        <f t="shared" si="15"/>
        <v>94.4</v>
      </c>
      <c r="AU31" s="203">
        <v>0.3125</v>
      </c>
      <c r="AV31" s="203">
        <v>0.31805555555555554</v>
      </c>
      <c r="AW31" s="204">
        <v>0.51736111111111105</v>
      </c>
      <c r="AX31" s="204">
        <v>0.22916666666666666</v>
      </c>
      <c r="AY31" s="199">
        <v>10.1</v>
      </c>
      <c r="AZ31" s="199">
        <v>1</v>
      </c>
      <c r="BA31" s="199">
        <v>1000</v>
      </c>
      <c r="BB31" s="208">
        <v>121</v>
      </c>
      <c r="BC31" s="208">
        <v>51</v>
      </c>
      <c r="BD31" s="208">
        <v>76</v>
      </c>
      <c r="BE31" s="208">
        <v>58</v>
      </c>
      <c r="BF31" s="208">
        <v>1</v>
      </c>
      <c r="BG31" s="208">
        <v>10</v>
      </c>
      <c r="BH31" s="208">
        <v>150</v>
      </c>
      <c r="BI31" s="208">
        <v>0.4</v>
      </c>
      <c r="BJ31" s="208">
        <v>9</v>
      </c>
      <c r="BK31" s="208">
        <v>82</v>
      </c>
      <c r="BL31" s="208">
        <v>43</v>
      </c>
      <c r="BM31" s="208">
        <v>55</v>
      </c>
      <c r="BN31" s="208">
        <v>0</v>
      </c>
      <c r="BO31" s="208">
        <v>7</v>
      </c>
      <c r="BP31" s="208">
        <v>0</v>
      </c>
      <c r="BQ31" s="208">
        <v>0</v>
      </c>
      <c r="BR31" s="208">
        <v>0</v>
      </c>
      <c r="BS31" s="208">
        <v>400</v>
      </c>
      <c r="BT31" s="208">
        <v>0</v>
      </c>
      <c r="BU31" s="208">
        <v>0</v>
      </c>
      <c r="BV31" s="208">
        <v>0</v>
      </c>
      <c r="BW31" s="208">
        <v>150</v>
      </c>
      <c r="BX31" s="208">
        <v>0</v>
      </c>
      <c r="BY31" s="208">
        <v>1133</v>
      </c>
      <c r="BZ31" s="208">
        <v>2000</v>
      </c>
      <c r="CA31" s="208">
        <v>750</v>
      </c>
      <c r="CB31" s="208">
        <v>13</v>
      </c>
      <c r="CC31" s="208">
        <v>11</v>
      </c>
      <c r="CD31" s="208">
        <v>10</v>
      </c>
      <c r="CE31" s="208"/>
      <c r="CF31" s="208"/>
      <c r="CG31" s="208"/>
      <c r="CH31" s="208"/>
      <c r="CI31" s="208"/>
      <c r="CJ31" s="208">
        <v>6</v>
      </c>
      <c r="CK31" s="208">
        <v>7.6</v>
      </c>
      <c r="CL31" s="208">
        <v>236</v>
      </c>
      <c r="CM31" s="208">
        <v>7.6</v>
      </c>
      <c r="CN31" s="208">
        <v>236</v>
      </c>
      <c r="CO31" s="208">
        <v>2</v>
      </c>
      <c r="CP31" s="208">
        <v>1</v>
      </c>
      <c r="CQ31" s="208">
        <v>0</v>
      </c>
      <c r="CR31" s="208"/>
      <c r="CS31" s="208"/>
      <c r="CT31" s="208">
        <v>0</v>
      </c>
      <c r="CU31" s="199">
        <v>750</v>
      </c>
      <c r="CV31" s="47">
        <f t="shared" si="10"/>
        <v>3133</v>
      </c>
      <c r="CW31" s="233">
        <v>0.51041666666666663</v>
      </c>
      <c r="CX31" s="233">
        <v>0.66666666666666663</v>
      </c>
      <c r="CY31" s="51">
        <f t="shared" si="16"/>
        <v>0.15625</v>
      </c>
      <c r="CZ31" s="55">
        <f t="shared" si="9"/>
        <v>225</v>
      </c>
      <c r="DA31" s="199">
        <v>122</v>
      </c>
      <c r="DB31" s="199">
        <v>53</v>
      </c>
      <c r="DC31" s="201">
        <f t="shared" si="17"/>
        <v>76</v>
      </c>
      <c r="DD31" s="199">
        <v>64</v>
      </c>
      <c r="DE31" s="199">
        <v>2</v>
      </c>
      <c r="DF31" s="199">
        <v>1</v>
      </c>
      <c r="DG31" s="199">
        <v>1</v>
      </c>
      <c r="DH31" s="199">
        <v>2</v>
      </c>
      <c r="DI31" s="199"/>
      <c r="DJ31" s="199"/>
      <c r="DK31" s="199"/>
      <c r="DL31" s="199"/>
      <c r="DM31" s="199"/>
      <c r="DN31" s="199">
        <v>3</v>
      </c>
      <c r="DO31" s="199"/>
      <c r="DP31" s="199">
        <v>4</v>
      </c>
      <c r="DQ31" s="199">
        <v>4</v>
      </c>
      <c r="DR31" s="199">
        <v>2</v>
      </c>
      <c r="DS31" s="199">
        <v>5</v>
      </c>
      <c r="DT31" s="199">
        <v>6</v>
      </c>
      <c r="DU31" s="199">
        <v>5</v>
      </c>
      <c r="DV31" s="199">
        <v>5</v>
      </c>
      <c r="DW31" s="199">
        <v>3</v>
      </c>
      <c r="DX31" s="199">
        <v>3</v>
      </c>
      <c r="DZ31" s="199">
        <v>10</v>
      </c>
      <c r="EA31" s="199">
        <v>8.5</v>
      </c>
      <c r="EB31" s="199">
        <v>7.5</v>
      </c>
      <c r="EC31" s="199">
        <v>7.6</v>
      </c>
      <c r="ED31" s="205">
        <v>8.1999999999999993</v>
      </c>
      <c r="EE31" s="199">
        <v>30.9</v>
      </c>
      <c r="EF31" s="199">
        <v>27</v>
      </c>
      <c r="EG31" s="199">
        <v>23.5</v>
      </c>
      <c r="EH31" s="199">
        <v>24.2</v>
      </c>
      <c r="EI31" s="199">
        <v>25.5</v>
      </c>
      <c r="EJ31" s="199">
        <v>0.8</v>
      </c>
      <c r="EK31" s="199">
        <v>0.74</v>
      </c>
      <c r="EL31" s="199">
        <v>0.63</v>
      </c>
      <c r="EM31" s="199">
        <v>0.64</v>
      </c>
      <c r="EN31" s="199">
        <v>0.63</v>
      </c>
      <c r="EO31" s="199">
        <v>202</v>
      </c>
      <c r="EP31" s="199">
        <v>277</v>
      </c>
      <c r="EQ31" s="199">
        <v>281</v>
      </c>
      <c r="ER31" s="199">
        <v>158</v>
      </c>
      <c r="ES31" s="199">
        <v>185</v>
      </c>
      <c r="ET31" s="199">
        <v>207</v>
      </c>
      <c r="EU31" s="199"/>
      <c r="EV31" s="199"/>
      <c r="EW31" s="199"/>
      <c r="EX31" s="199"/>
      <c r="EY31" s="199"/>
      <c r="EZ31" s="199"/>
      <c r="FA31" s="199">
        <v>0</v>
      </c>
      <c r="FB31" s="206">
        <v>42348</v>
      </c>
      <c r="FC31" s="199">
        <f t="shared" si="18"/>
        <v>5</v>
      </c>
      <c r="FD31" s="199"/>
      <c r="FE31" s="207"/>
      <c r="FF31" s="207"/>
      <c r="FG31" s="207"/>
      <c r="FH31" s="207"/>
      <c r="FI31" s="207"/>
      <c r="FJ31" s="207"/>
      <c r="FK31" s="207"/>
      <c r="FL31" s="207"/>
      <c r="FM31" s="207"/>
      <c r="FN31" s="207"/>
      <c r="FO31" s="207"/>
      <c r="FP31" s="207"/>
      <c r="FQ31" s="207"/>
      <c r="FR31" s="207"/>
      <c r="FS31" s="207"/>
      <c r="FT31" s="207"/>
      <c r="FU31" s="207"/>
    </row>
    <row r="32" spans="1:177" s="1" customFormat="1" x14ac:dyDescent="0.25">
      <c r="A32" s="116" t="s">
        <v>262</v>
      </c>
      <c r="B32" s="61" t="s">
        <v>266</v>
      </c>
      <c r="C32" s="47" t="s">
        <v>156</v>
      </c>
      <c r="D32" s="47" t="str">
        <f t="shared" si="0"/>
        <v xml:space="preserve">55 Y </v>
      </c>
      <c r="E32" s="47">
        <v>2</v>
      </c>
      <c r="F32" s="48">
        <v>21889</v>
      </c>
      <c r="G32" s="48">
        <v>41984</v>
      </c>
      <c r="H32" s="49">
        <v>162.6</v>
      </c>
      <c r="I32" s="49">
        <v>91.7</v>
      </c>
      <c r="J32" s="49">
        <f t="shared" si="11"/>
        <v>54.73629998000002</v>
      </c>
      <c r="K32" s="49">
        <f t="shared" si="12"/>
        <v>34.683926175055113</v>
      </c>
      <c r="L32" s="47">
        <v>0</v>
      </c>
      <c r="M32" s="47">
        <v>1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49">
        <v>0</v>
      </c>
      <c r="Z32" s="47">
        <v>0</v>
      </c>
      <c r="AA32" s="47">
        <v>0</v>
      </c>
      <c r="AB32" s="47">
        <v>0</v>
      </c>
      <c r="AC32" s="47">
        <v>0</v>
      </c>
      <c r="AD32" s="47">
        <v>0</v>
      </c>
      <c r="AE32" s="47">
        <v>0</v>
      </c>
      <c r="AF32" s="47">
        <v>1</v>
      </c>
      <c r="AG32" s="47">
        <v>1</v>
      </c>
      <c r="AH32" s="47">
        <v>50</v>
      </c>
      <c r="AI32" s="47"/>
      <c r="AJ32" s="47"/>
      <c r="AK32" s="49">
        <v>11.8</v>
      </c>
      <c r="AL32" s="47">
        <v>37</v>
      </c>
      <c r="AM32" s="47">
        <v>0.7</v>
      </c>
      <c r="AN32" s="47" t="s">
        <v>128</v>
      </c>
      <c r="AO32" s="47"/>
      <c r="AP32" s="49">
        <v>135</v>
      </c>
      <c r="AQ32" s="49">
        <v>88</v>
      </c>
      <c r="AR32" s="49">
        <f t="shared" si="13"/>
        <v>103.66666666666667</v>
      </c>
      <c r="AS32" s="49">
        <f t="shared" si="14"/>
        <v>162</v>
      </c>
      <c r="AT32" s="49">
        <f t="shared" si="15"/>
        <v>108</v>
      </c>
      <c r="AU32" s="50">
        <v>0.31527777777777777</v>
      </c>
      <c r="AV32" s="50">
        <v>0.32430555555555557</v>
      </c>
      <c r="AW32" s="51">
        <v>0.4597222222222222</v>
      </c>
      <c r="AX32" s="51">
        <v>0.22916666666666666</v>
      </c>
      <c r="AY32" s="47">
        <v>8.1</v>
      </c>
      <c r="AZ32" s="47">
        <v>1</v>
      </c>
      <c r="BA32" s="47">
        <v>1000</v>
      </c>
      <c r="BB32" s="47">
        <v>125</v>
      </c>
      <c r="BC32" s="47">
        <v>54</v>
      </c>
      <c r="BD32" s="47">
        <v>75</v>
      </c>
      <c r="BE32" s="47">
        <v>54</v>
      </c>
      <c r="BF32" s="47">
        <v>1</v>
      </c>
      <c r="BG32" s="47">
        <v>150</v>
      </c>
      <c r="BH32" s="47">
        <v>0</v>
      </c>
      <c r="BI32" s="47">
        <v>0.5</v>
      </c>
      <c r="BJ32" s="47">
        <v>10</v>
      </c>
      <c r="BK32" s="47">
        <v>85</v>
      </c>
      <c r="BL32" s="47">
        <v>53</v>
      </c>
      <c r="BM32" s="47">
        <v>65</v>
      </c>
      <c r="BN32" s="47"/>
      <c r="BO32" s="47">
        <v>4</v>
      </c>
      <c r="BP32" s="47">
        <v>0.2</v>
      </c>
      <c r="BQ32" s="47">
        <v>1</v>
      </c>
      <c r="BR32" s="47">
        <v>3.2000000000000001E-2</v>
      </c>
      <c r="BS32" s="47">
        <v>400</v>
      </c>
      <c r="BT32" s="47">
        <v>25</v>
      </c>
      <c r="BU32" s="47">
        <v>0</v>
      </c>
      <c r="BV32" s="47">
        <v>0</v>
      </c>
      <c r="BW32" s="47">
        <v>75</v>
      </c>
      <c r="BX32" s="47">
        <v>0</v>
      </c>
      <c r="BY32" s="47">
        <v>759.8</v>
      </c>
      <c r="BZ32" s="47">
        <v>1900</v>
      </c>
      <c r="CA32" s="47">
        <v>500</v>
      </c>
      <c r="CB32" s="47">
        <v>22</v>
      </c>
      <c r="CC32" s="47">
        <v>10</v>
      </c>
      <c r="CD32" s="47"/>
      <c r="CE32" s="47"/>
      <c r="CF32" s="47"/>
      <c r="CG32" s="47"/>
      <c r="CH32" s="47"/>
      <c r="CI32" s="47"/>
      <c r="CJ32" s="47">
        <v>2</v>
      </c>
      <c r="CK32" s="47" t="s">
        <v>271</v>
      </c>
      <c r="CL32" s="47" t="s">
        <v>271</v>
      </c>
      <c r="CM32" s="47" t="s">
        <v>271</v>
      </c>
      <c r="CN32" s="47" t="s">
        <v>271</v>
      </c>
      <c r="CO32" s="47">
        <v>0</v>
      </c>
      <c r="CP32" s="47">
        <v>1</v>
      </c>
      <c r="CQ32" s="47">
        <v>0</v>
      </c>
      <c r="CR32" s="47">
        <v>0</v>
      </c>
      <c r="CS32" s="47">
        <v>0</v>
      </c>
      <c r="CT32" s="47">
        <v>0</v>
      </c>
      <c r="CU32" s="47">
        <v>100</v>
      </c>
      <c r="CV32" s="47">
        <f t="shared" si="10"/>
        <v>2659.8</v>
      </c>
      <c r="CW32" s="230">
        <v>0.45833333333333331</v>
      </c>
      <c r="CX32" s="230">
        <v>0.5756944444444444</v>
      </c>
      <c r="CY32" s="51">
        <f t="shared" si="16"/>
        <v>0.11736111111111108</v>
      </c>
      <c r="CZ32" s="55">
        <f t="shared" si="9"/>
        <v>168.99999999999997</v>
      </c>
      <c r="DA32" s="47">
        <v>139</v>
      </c>
      <c r="DB32" s="47">
        <v>63</v>
      </c>
      <c r="DC32" s="49">
        <f t="shared" si="17"/>
        <v>88.333333333333329</v>
      </c>
      <c r="DD32" s="47">
        <v>60</v>
      </c>
      <c r="DE32" s="47">
        <v>2</v>
      </c>
      <c r="DF32" s="47">
        <v>1</v>
      </c>
      <c r="DG32" s="47">
        <v>1</v>
      </c>
      <c r="DH32" s="47">
        <v>1</v>
      </c>
      <c r="DI32" s="47"/>
      <c r="DJ32" s="47"/>
      <c r="DK32" s="47"/>
      <c r="DL32" s="47"/>
      <c r="DM32" s="47"/>
      <c r="DN32" s="47">
        <v>4</v>
      </c>
      <c r="DO32" s="47">
        <v>3</v>
      </c>
      <c r="DP32" s="47">
        <v>5</v>
      </c>
      <c r="DQ32" s="47">
        <v>5</v>
      </c>
      <c r="DR32" s="47">
        <v>0</v>
      </c>
      <c r="DS32" s="47" t="s">
        <v>263</v>
      </c>
      <c r="DT32" s="47">
        <v>3</v>
      </c>
      <c r="DU32" s="47">
        <v>3</v>
      </c>
      <c r="DV32" s="47">
        <v>1</v>
      </c>
      <c r="DW32" s="47">
        <v>1</v>
      </c>
      <c r="DX32" s="47">
        <v>4</v>
      </c>
      <c r="DZ32" s="47">
        <v>10</v>
      </c>
      <c r="EA32" s="47">
        <v>10</v>
      </c>
      <c r="EB32" s="47">
        <v>9.5</v>
      </c>
      <c r="EC32" s="47">
        <v>9.1</v>
      </c>
      <c r="ED32" s="47">
        <v>9.6</v>
      </c>
      <c r="EE32" s="47">
        <v>32.1</v>
      </c>
      <c r="EF32" s="47">
        <v>31.5</v>
      </c>
      <c r="EG32" s="47">
        <v>29.9</v>
      </c>
      <c r="EH32" s="47">
        <v>28.3</v>
      </c>
      <c r="EI32" s="47">
        <v>29</v>
      </c>
      <c r="EJ32" s="47">
        <v>0.72</v>
      </c>
      <c r="EK32" s="47">
        <v>0.72</v>
      </c>
      <c r="EL32" s="47">
        <v>0.66</v>
      </c>
      <c r="EM32" s="47">
        <v>0.56999999999999995</v>
      </c>
      <c r="EN32" s="47">
        <v>0.57999999999999996</v>
      </c>
      <c r="EO32" s="47"/>
      <c r="EP32" s="47">
        <v>113</v>
      </c>
      <c r="EQ32" s="47">
        <v>113</v>
      </c>
      <c r="ER32" s="47">
        <v>132</v>
      </c>
      <c r="ES32" s="47">
        <v>135</v>
      </c>
      <c r="ET32" s="47">
        <v>119</v>
      </c>
      <c r="EU32" s="47"/>
      <c r="EV32" s="47"/>
      <c r="EW32" s="47"/>
      <c r="EX32" s="47"/>
      <c r="EY32" s="47"/>
      <c r="EZ32" s="47"/>
      <c r="FA32" s="199">
        <v>0</v>
      </c>
      <c r="FB32" s="48">
        <v>41990</v>
      </c>
      <c r="FC32" s="55">
        <f t="shared" ref="FC32:FC38" si="19">(FB32-G32)</f>
        <v>6</v>
      </c>
      <c r="FD32" s="47" t="s">
        <v>342</v>
      </c>
    </row>
    <row r="33" spans="1:160" s="129" customFormat="1" x14ac:dyDescent="0.25">
      <c r="A33" s="187" t="s">
        <v>341</v>
      </c>
      <c r="B33" s="135" t="s">
        <v>344</v>
      </c>
      <c r="C33" s="214" t="s">
        <v>156</v>
      </c>
      <c r="D33" s="47" t="str">
        <f t="shared" si="0"/>
        <v xml:space="preserve">46 Y 9 M </v>
      </c>
      <c r="E33" s="129">
        <v>2</v>
      </c>
      <c r="F33" s="133">
        <v>24917</v>
      </c>
      <c r="G33" s="133">
        <v>42019</v>
      </c>
      <c r="H33" s="130">
        <v>167.6</v>
      </c>
      <c r="I33" s="130">
        <v>83</v>
      </c>
      <c r="J33" s="130">
        <f t="shared" si="11"/>
        <v>59.263861480000003</v>
      </c>
      <c r="K33" s="130">
        <f t="shared" si="12"/>
        <v>29.548134266722109</v>
      </c>
      <c r="L33" s="129">
        <v>0</v>
      </c>
      <c r="M33" s="129">
        <v>1</v>
      </c>
      <c r="N33" s="129">
        <v>0</v>
      </c>
      <c r="O33" s="129">
        <v>0</v>
      </c>
      <c r="P33" s="129">
        <v>0</v>
      </c>
      <c r="Q33" s="129">
        <v>0</v>
      </c>
      <c r="R33" s="129">
        <v>0</v>
      </c>
      <c r="S33" s="129">
        <v>0</v>
      </c>
      <c r="T33" s="129">
        <v>0</v>
      </c>
      <c r="U33" s="129">
        <v>0</v>
      </c>
      <c r="V33" s="129">
        <v>0</v>
      </c>
      <c r="W33" s="129">
        <v>0</v>
      </c>
      <c r="X33" s="129">
        <v>0</v>
      </c>
      <c r="Y33" s="129">
        <v>0</v>
      </c>
      <c r="Z33" s="129">
        <v>0</v>
      </c>
      <c r="AA33" s="129">
        <v>0</v>
      </c>
      <c r="AB33" s="129">
        <v>0</v>
      </c>
      <c r="AC33" s="129">
        <v>0</v>
      </c>
      <c r="AD33" s="129">
        <v>0</v>
      </c>
      <c r="AE33" s="129">
        <v>0</v>
      </c>
      <c r="AF33" s="129">
        <v>0</v>
      </c>
      <c r="AG33" s="129">
        <v>0</v>
      </c>
      <c r="AH33" s="129">
        <v>0</v>
      </c>
      <c r="AK33" s="129">
        <v>10.3</v>
      </c>
      <c r="AL33" s="129">
        <v>34.200000000000003</v>
      </c>
      <c r="AM33" s="129">
        <v>0.65</v>
      </c>
      <c r="AN33" s="47" t="s">
        <v>128</v>
      </c>
      <c r="AP33" s="129">
        <v>184</v>
      </c>
      <c r="AQ33" s="129">
        <v>99.25</v>
      </c>
      <c r="AR33" s="130">
        <f t="shared" si="13"/>
        <v>127.5</v>
      </c>
      <c r="AS33" s="129">
        <f t="shared" si="14"/>
        <v>220.8</v>
      </c>
      <c r="AT33" s="129">
        <f t="shared" si="15"/>
        <v>147.19999999999999</v>
      </c>
      <c r="AU33" s="131">
        <v>0.31597222222222221</v>
      </c>
      <c r="AV33" s="131">
        <v>0.32013888888888892</v>
      </c>
      <c r="AW33" s="131">
        <v>0.46597222222222223</v>
      </c>
      <c r="AX33" s="131">
        <v>0.22916666666666666</v>
      </c>
      <c r="AY33" s="129">
        <v>8.1</v>
      </c>
      <c r="AZ33" s="129">
        <v>1</v>
      </c>
      <c r="BA33" s="129">
        <v>1000</v>
      </c>
      <c r="BB33" s="47">
        <v>151</v>
      </c>
      <c r="BC33" s="47">
        <v>82</v>
      </c>
      <c r="BD33" s="47">
        <v>108</v>
      </c>
      <c r="BE33" s="47">
        <v>88</v>
      </c>
      <c r="BF33" s="47">
        <v>1</v>
      </c>
      <c r="BG33" s="47">
        <v>100</v>
      </c>
      <c r="BH33" s="47">
        <v>150</v>
      </c>
      <c r="BI33" s="47">
        <v>0.5</v>
      </c>
      <c r="BJ33" s="47">
        <v>9</v>
      </c>
      <c r="BK33" s="47">
        <v>99</v>
      </c>
      <c r="BL33" s="47">
        <v>58</v>
      </c>
      <c r="BM33" s="47">
        <v>73</v>
      </c>
      <c r="BN33" s="47">
        <v>2</v>
      </c>
      <c r="BO33" s="47">
        <v>13</v>
      </c>
      <c r="BP33" s="47">
        <v>0</v>
      </c>
      <c r="BQ33" s="47">
        <v>0</v>
      </c>
      <c r="BR33" s="47">
        <v>0</v>
      </c>
      <c r="BS33" s="47">
        <v>640</v>
      </c>
      <c r="BT33" s="47">
        <v>0</v>
      </c>
      <c r="BU33" s="47">
        <v>0</v>
      </c>
      <c r="BV33" s="47">
        <v>0</v>
      </c>
      <c r="BW33" s="47">
        <v>225</v>
      </c>
      <c r="BX33" s="47">
        <v>0</v>
      </c>
      <c r="BY33" s="47">
        <v>850</v>
      </c>
      <c r="BZ33" s="47">
        <v>2000</v>
      </c>
      <c r="CA33" s="47">
        <v>500</v>
      </c>
      <c r="CB33" s="47">
        <v>12</v>
      </c>
      <c r="CC33" s="47">
        <v>9</v>
      </c>
      <c r="CD33" s="47"/>
      <c r="CE33" s="47"/>
      <c r="CF33" s="47"/>
      <c r="CG33" s="47"/>
      <c r="CH33" s="47"/>
      <c r="CI33" s="47"/>
      <c r="CJ33" s="47">
        <v>3</v>
      </c>
      <c r="CK33" s="47">
        <v>9.1</v>
      </c>
      <c r="CL33" s="47">
        <v>118</v>
      </c>
      <c r="CM33" s="47">
        <v>9.1</v>
      </c>
      <c r="CN33" s="47">
        <v>118</v>
      </c>
      <c r="CO33" s="47">
        <v>0</v>
      </c>
      <c r="CP33" s="47">
        <v>1</v>
      </c>
      <c r="CQ33" s="47">
        <v>0</v>
      </c>
      <c r="CR33" s="47">
        <v>0</v>
      </c>
      <c r="CS33" s="47">
        <v>0</v>
      </c>
      <c r="CT33" s="47">
        <v>0</v>
      </c>
      <c r="CU33" s="47">
        <v>200</v>
      </c>
      <c r="CV33" s="47">
        <f t="shared" si="10"/>
        <v>2850</v>
      </c>
      <c r="CW33" s="231">
        <v>0.46249999999999997</v>
      </c>
      <c r="CX33" s="231">
        <v>0.50416666666666665</v>
      </c>
      <c r="CY33" s="51">
        <f t="shared" si="16"/>
        <v>4.1666666666666685E-2</v>
      </c>
      <c r="CZ33" s="55">
        <f t="shared" si="9"/>
        <v>60.000000000000028</v>
      </c>
      <c r="DA33" s="129">
        <v>130</v>
      </c>
      <c r="DB33" s="129">
        <v>69</v>
      </c>
      <c r="DC33" s="132">
        <f t="shared" si="17"/>
        <v>89.333333333333329</v>
      </c>
      <c r="DD33" s="129">
        <v>78</v>
      </c>
      <c r="DE33" s="129">
        <v>5</v>
      </c>
      <c r="DF33" s="129">
        <v>1</v>
      </c>
      <c r="DG33" s="129">
        <v>1</v>
      </c>
      <c r="DH33" s="129">
        <v>1</v>
      </c>
      <c r="DN33" s="129">
        <v>2</v>
      </c>
      <c r="DO33" s="129">
        <v>3</v>
      </c>
      <c r="DP33" s="129">
        <v>5</v>
      </c>
      <c r="DQ33" s="129">
        <v>5</v>
      </c>
      <c r="DR33" s="129">
        <v>2</v>
      </c>
      <c r="DS33" s="47" t="s">
        <v>263</v>
      </c>
      <c r="DT33" s="129">
        <v>5</v>
      </c>
      <c r="DU33" s="129">
        <v>5</v>
      </c>
      <c r="DV33" s="129">
        <v>5</v>
      </c>
      <c r="DW33" s="129">
        <v>5</v>
      </c>
      <c r="DX33" s="129">
        <v>4</v>
      </c>
      <c r="DZ33" s="129">
        <v>8.6999999999999993</v>
      </c>
      <c r="EA33" s="129">
        <v>8.4</v>
      </c>
      <c r="EB33" s="129">
        <v>8.5</v>
      </c>
      <c r="EC33" s="129">
        <v>7.8</v>
      </c>
      <c r="ED33" s="129">
        <v>8.4</v>
      </c>
      <c r="EE33" s="129">
        <v>28.2</v>
      </c>
      <c r="EF33" s="129">
        <v>27.8</v>
      </c>
      <c r="EG33" s="129">
        <v>27.7</v>
      </c>
      <c r="EH33" s="129">
        <v>25.8</v>
      </c>
      <c r="EI33" s="129">
        <v>27.1</v>
      </c>
      <c r="EJ33" s="129">
        <v>0.63</v>
      </c>
      <c r="EK33" s="129">
        <v>0.53</v>
      </c>
      <c r="EL33" s="129">
        <v>0.45</v>
      </c>
      <c r="EM33" s="129">
        <v>0.44</v>
      </c>
      <c r="EN33" s="129">
        <v>0.46</v>
      </c>
      <c r="EO33" s="129">
        <v>132</v>
      </c>
      <c r="EP33" s="129">
        <v>107</v>
      </c>
      <c r="EQ33" s="129">
        <v>125</v>
      </c>
      <c r="ER33" s="129">
        <v>137</v>
      </c>
      <c r="ES33" s="129">
        <v>104</v>
      </c>
      <c r="ET33" s="129">
        <v>88</v>
      </c>
      <c r="FA33" s="199">
        <v>0</v>
      </c>
      <c r="FB33" s="133">
        <v>42025</v>
      </c>
      <c r="FC33" s="176">
        <f t="shared" si="19"/>
        <v>6</v>
      </c>
    </row>
    <row r="34" spans="1:160" s="1" customFormat="1" x14ac:dyDescent="0.25">
      <c r="A34" s="216" t="s">
        <v>359</v>
      </c>
      <c r="B34" s="61" t="s">
        <v>361</v>
      </c>
      <c r="C34" s="47" t="s">
        <v>156</v>
      </c>
      <c r="D34" s="47" t="str">
        <f t="shared" si="0"/>
        <v xml:space="preserve">37 Y </v>
      </c>
      <c r="E34" s="47">
        <v>2</v>
      </c>
      <c r="F34" s="133">
        <v>28520</v>
      </c>
      <c r="G34" s="48">
        <v>42041</v>
      </c>
      <c r="H34" s="47">
        <v>156.69999999999999</v>
      </c>
      <c r="I34" s="47">
        <v>86.5</v>
      </c>
      <c r="J34" s="49">
        <f t="shared" si="11"/>
        <v>49.393777409999998</v>
      </c>
      <c r="K34" s="47">
        <f t="shared" si="12"/>
        <v>35.227199144447397</v>
      </c>
      <c r="L34" s="47">
        <v>1</v>
      </c>
      <c r="M34" s="47">
        <v>1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/>
      <c r="AJ34" s="47"/>
      <c r="AK34" s="47">
        <v>11.6</v>
      </c>
      <c r="AL34" s="47">
        <v>36.799999999999997</v>
      </c>
      <c r="AM34" s="47">
        <v>0.66</v>
      </c>
      <c r="AN34" s="47" t="s">
        <v>128</v>
      </c>
      <c r="AO34" s="47"/>
      <c r="AP34" s="47">
        <v>121</v>
      </c>
      <c r="AQ34" s="47">
        <v>78</v>
      </c>
      <c r="AR34" s="47">
        <f t="shared" si="13"/>
        <v>92.333333333333329</v>
      </c>
      <c r="AS34" s="47">
        <f t="shared" si="14"/>
        <v>145.19999999999999</v>
      </c>
      <c r="AT34" s="47">
        <f t="shared" si="15"/>
        <v>96.8</v>
      </c>
      <c r="AU34" s="50">
        <v>0.36874999999999997</v>
      </c>
      <c r="AV34" s="50">
        <v>0.37916666666666665</v>
      </c>
      <c r="AW34" s="51">
        <v>0.48194444444444445</v>
      </c>
      <c r="AX34" s="51">
        <v>0.22916666666666666</v>
      </c>
      <c r="AY34" s="47">
        <v>12</v>
      </c>
      <c r="AZ34" s="47">
        <v>1</v>
      </c>
      <c r="BA34" s="47">
        <v>1000</v>
      </c>
      <c r="BB34" s="47">
        <v>105</v>
      </c>
      <c r="BC34" s="47">
        <v>49</v>
      </c>
      <c r="BD34" s="47">
        <v>68</v>
      </c>
      <c r="BE34" s="47">
        <v>74</v>
      </c>
      <c r="BF34" s="47">
        <v>1</v>
      </c>
      <c r="BG34" s="47">
        <v>140</v>
      </c>
      <c r="BH34" s="47">
        <v>50</v>
      </c>
      <c r="BI34" s="47">
        <v>0.6</v>
      </c>
      <c r="BJ34" s="47">
        <v>10</v>
      </c>
      <c r="BK34" s="47">
        <v>84</v>
      </c>
      <c r="BL34" s="47">
        <v>60</v>
      </c>
      <c r="BM34" s="47">
        <v>72</v>
      </c>
      <c r="BN34" s="47" t="s">
        <v>247</v>
      </c>
      <c r="BO34" s="47"/>
      <c r="BP34" s="47">
        <v>0</v>
      </c>
      <c r="BQ34" s="47">
        <v>0</v>
      </c>
      <c r="BR34" s="47">
        <v>0</v>
      </c>
      <c r="BS34" s="47">
        <v>240</v>
      </c>
      <c r="BT34" s="47">
        <v>0</v>
      </c>
      <c r="BU34" s="47">
        <v>0</v>
      </c>
      <c r="BV34" s="47">
        <v>0</v>
      </c>
      <c r="BW34" s="47">
        <v>50</v>
      </c>
      <c r="BX34" s="47">
        <v>0</v>
      </c>
      <c r="BY34" s="47">
        <v>495.8</v>
      </c>
      <c r="BZ34" s="47">
        <v>1400</v>
      </c>
      <c r="CA34" s="47">
        <v>750</v>
      </c>
      <c r="CB34" s="47">
        <v>5</v>
      </c>
      <c r="CC34" s="47">
        <v>5</v>
      </c>
      <c r="CD34" s="47"/>
      <c r="CE34" s="47"/>
      <c r="CF34" s="47"/>
      <c r="CG34" s="47"/>
      <c r="CH34" s="47"/>
      <c r="CI34" s="47"/>
      <c r="CJ34" s="47">
        <v>9</v>
      </c>
      <c r="CK34" s="47" t="s">
        <v>382</v>
      </c>
      <c r="CL34" s="47" t="s">
        <v>382</v>
      </c>
      <c r="CM34" s="47" t="s">
        <v>382</v>
      </c>
      <c r="CN34" s="47" t="s">
        <v>382</v>
      </c>
      <c r="CO34" s="47">
        <v>0</v>
      </c>
      <c r="CP34" s="47">
        <v>1</v>
      </c>
      <c r="CQ34" s="47">
        <v>1</v>
      </c>
      <c r="CR34" s="47">
        <v>100</v>
      </c>
      <c r="CS34" s="47">
        <v>0</v>
      </c>
      <c r="CT34" s="47">
        <v>0</v>
      </c>
      <c r="CU34" s="47">
        <v>25</v>
      </c>
      <c r="CV34" s="47">
        <f t="shared" si="10"/>
        <v>1895.8</v>
      </c>
      <c r="CW34" s="230">
        <v>0.47430555555555554</v>
      </c>
      <c r="CX34" s="230">
        <v>0.5625</v>
      </c>
      <c r="CY34" s="51">
        <f t="shared" si="16"/>
        <v>8.8194444444444464E-2</v>
      </c>
      <c r="CZ34" s="55">
        <f t="shared" si="9"/>
        <v>127.00000000000003</v>
      </c>
      <c r="DA34" s="47">
        <v>93</v>
      </c>
      <c r="DB34" s="47">
        <v>45</v>
      </c>
      <c r="DC34" s="132">
        <f t="shared" si="17"/>
        <v>61</v>
      </c>
      <c r="DD34" s="47">
        <v>64</v>
      </c>
      <c r="DE34" s="47">
        <v>2</v>
      </c>
      <c r="DF34" s="47">
        <v>1</v>
      </c>
      <c r="DG34" s="47">
        <v>1</v>
      </c>
      <c r="DH34" s="47">
        <v>1</v>
      </c>
      <c r="DI34" s="47"/>
      <c r="DJ34" s="47"/>
      <c r="DK34" s="47"/>
      <c r="DL34" s="47"/>
      <c r="DM34" s="47"/>
      <c r="DN34" s="213"/>
      <c r="DO34" s="47">
        <v>2</v>
      </c>
      <c r="DP34" s="47">
        <v>3</v>
      </c>
      <c r="DQ34" s="47">
        <v>3</v>
      </c>
      <c r="DR34" s="47">
        <v>8</v>
      </c>
      <c r="DS34" s="213"/>
      <c r="DT34" s="213"/>
      <c r="DU34" s="213"/>
      <c r="DV34" s="213"/>
      <c r="DW34" s="213"/>
      <c r="DX34" s="213"/>
      <c r="DZ34" s="47">
        <v>9.3000000000000007</v>
      </c>
      <c r="EA34" s="47">
        <v>9.1</v>
      </c>
      <c r="EB34" s="47">
        <v>8.6999999999999993</v>
      </c>
      <c r="EC34" s="47">
        <v>8.8000000000000007</v>
      </c>
      <c r="ED34" s="47"/>
      <c r="EE34" s="47">
        <v>28.9</v>
      </c>
      <c r="EF34" s="47">
        <v>28.6</v>
      </c>
      <c r="EG34" s="47">
        <v>27</v>
      </c>
      <c r="EH34" s="47">
        <v>27.3</v>
      </c>
      <c r="EI34" s="47"/>
      <c r="EJ34" s="47">
        <v>0.66</v>
      </c>
      <c r="EK34" s="47">
        <v>0.62</v>
      </c>
      <c r="EL34" s="47">
        <v>0.66</v>
      </c>
      <c r="EM34" s="47">
        <v>0.64</v>
      </c>
      <c r="EN34" s="213"/>
      <c r="EO34" s="213"/>
      <c r="EP34" s="47">
        <v>92</v>
      </c>
      <c r="EQ34" s="47">
        <v>98</v>
      </c>
      <c r="ER34" s="47">
        <v>119</v>
      </c>
      <c r="ES34" s="47">
        <v>93</v>
      </c>
      <c r="ET34" s="47"/>
      <c r="EU34" s="47"/>
      <c r="EV34" s="47"/>
      <c r="EW34" s="47"/>
      <c r="EX34" s="47"/>
      <c r="EY34" s="47"/>
      <c r="EZ34" s="47"/>
      <c r="FA34" s="199">
        <v>0</v>
      </c>
      <c r="FB34" s="48">
        <v>42045</v>
      </c>
      <c r="FC34" s="176">
        <f t="shared" si="19"/>
        <v>4</v>
      </c>
      <c r="FD34" s="47"/>
    </row>
    <row r="35" spans="1:160" s="1" customFormat="1" x14ac:dyDescent="0.25">
      <c r="A35" s="217" t="s">
        <v>379</v>
      </c>
      <c r="B35" s="180" t="s">
        <v>381</v>
      </c>
      <c r="C35" s="47" t="s">
        <v>156</v>
      </c>
      <c r="D35" s="47" t="str">
        <f t="shared" si="0"/>
        <v xml:space="preserve">46 Y 1 M </v>
      </c>
      <c r="E35" s="47">
        <v>1</v>
      </c>
      <c r="F35" s="48">
        <v>25220</v>
      </c>
      <c r="G35" s="48">
        <v>42061</v>
      </c>
      <c r="H35" s="47">
        <v>198.1</v>
      </c>
      <c r="I35" s="49">
        <v>129.27500000000001</v>
      </c>
      <c r="J35" s="49">
        <f t="shared" si="11"/>
        <v>91.38198663</v>
      </c>
      <c r="K35" s="47">
        <f t="shared" si="12"/>
        <v>32.941668720079534</v>
      </c>
      <c r="L35" s="47">
        <v>1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7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/>
      <c r="AJ35" s="47"/>
      <c r="AK35" s="47">
        <v>11.2</v>
      </c>
      <c r="AL35" s="47">
        <v>34.200000000000003</v>
      </c>
      <c r="AM35" s="47">
        <v>1.1100000000000001</v>
      </c>
      <c r="AN35" s="47" t="s">
        <v>128</v>
      </c>
      <c r="AO35" s="47"/>
      <c r="AP35" s="47">
        <f>(115+113)/2</f>
        <v>114</v>
      </c>
      <c r="AQ35" s="47">
        <f>(69+77)/2</f>
        <v>73</v>
      </c>
      <c r="AR35" s="47">
        <f t="shared" si="13"/>
        <v>86.666666666666671</v>
      </c>
      <c r="AS35" s="47">
        <f t="shared" si="14"/>
        <v>136.80000000000001</v>
      </c>
      <c r="AT35" s="47">
        <f t="shared" si="15"/>
        <v>91.2</v>
      </c>
      <c r="AU35" s="50">
        <v>0.4777777777777778</v>
      </c>
      <c r="AV35" s="50">
        <v>0.48194444444444445</v>
      </c>
      <c r="AW35" s="51">
        <v>0.67847222222222225</v>
      </c>
      <c r="AX35" s="51">
        <v>0.36805555555555558</v>
      </c>
      <c r="AY35" s="47">
        <v>8.1</v>
      </c>
      <c r="AZ35" s="47">
        <v>1</v>
      </c>
      <c r="BA35" s="47">
        <v>1000</v>
      </c>
      <c r="BB35" s="47">
        <v>147</v>
      </c>
      <c r="BC35" s="47">
        <v>81</v>
      </c>
      <c r="BD35" s="47">
        <v>98</v>
      </c>
      <c r="BE35" s="47">
        <v>69</v>
      </c>
      <c r="BF35" s="47">
        <v>1</v>
      </c>
      <c r="BG35" s="47">
        <v>100</v>
      </c>
      <c r="BH35" s="47">
        <v>250</v>
      </c>
      <c r="BI35" s="47">
        <v>0.6</v>
      </c>
      <c r="BJ35" s="47">
        <v>9</v>
      </c>
      <c r="BK35" s="47">
        <v>80</v>
      </c>
      <c r="BL35" s="47">
        <v>48</v>
      </c>
      <c r="BM35" s="47">
        <v>58</v>
      </c>
      <c r="BN35" s="47">
        <v>0</v>
      </c>
      <c r="BO35" s="47">
        <v>3</v>
      </c>
      <c r="BP35" s="47">
        <v>0</v>
      </c>
      <c r="BQ35" s="47">
        <v>0</v>
      </c>
      <c r="BR35" s="47">
        <v>0</v>
      </c>
      <c r="BS35" s="47">
        <v>400</v>
      </c>
      <c r="BT35" s="47">
        <v>0</v>
      </c>
      <c r="BU35" s="47">
        <v>0</v>
      </c>
      <c r="BV35" s="47">
        <v>0</v>
      </c>
      <c r="BW35" s="47">
        <v>250</v>
      </c>
      <c r="BX35" s="47">
        <v>0</v>
      </c>
      <c r="BY35" s="47">
        <v>1200</v>
      </c>
      <c r="BZ35" s="47">
        <v>2800</v>
      </c>
      <c r="CA35" s="47">
        <v>1000</v>
      </c>
      <c r="CB35" s="47">
        <v>14</v>
      </c>
      <c r="CC35" s="47">
        <v>11</v>
      </c>
      <c r="CD35" s="47">
        <v>20</v>
      </c>
      <c r="CE35" s="47"/>
      <c r="CF35" s="47"/>
      <c r="CG35" s="47"/>
      <c r="CH35" s="47"/>
      <c r="CI35" s="47"/>
      <c r="CJ35" s="47">
        <v>17</v>
      </c>
      <c r="CK35" s="47">
        <v>9.6</v>
      </c>
      <c r="CL35" s="47">
        <v>188</v>
      </c>
      <c r="CM35" s="47">
        <v>9.1999999999999993</v>
      </c>
      <c r="CN35" s="47">
        <v>211</v>
      </c>
      <c r="CO35" s="47">
        <v>0</v>
      </c>
      <c r="CP35" s="47">
        <v>1</v>
      </c>
      <c r="CQ35" s="47">
        <v>0</v>
      </c>
      <c r="CR35" s="47">
        <v>0</v>
      </c>
      <c r="CS35" s="47">
        <v>0</v>
      </c>
      <c r="CT35" s="47">
        <v>0</v>
      </c>
      <c r="CU35" s="47">
        <v>500</v>
      </c>
      <c r="CV35" s="47">
        <f t="shared" si="10"/>
        <v>4000</v>
      </c>
      <c r="CW35" s="51">
        <v>0.67361111111111116</v>
      </c>
      <c r="CX35" s="51">
        <v>0.79166666666666663</v>
      </c>
      <c r="CY35" s="51">
        <f t="shared" si="16"/>
        <v>0.11805555555555547</v>
      </c>
      <c r="CZ35" s="55">
        <f t="shared" si="9"/>
        <v>169.99999999999989</v>
      </c>
      <c r="DA35" s="47">
        <v>115</v>
      </c>
      <c r="DB35" s="47">
        <v>57</v>
      </c>
      <c r="DC35" s="132">
        <f t="shared" si="17"/>
        <v>76.333333333333329</v>
      </c>
      <c r="DD35" s="47">
        <v>64</v>
      </c>
      <c r="DE35" s="47">
        <v>3</v>
      </c>
      <c r="DF35" s="47">
        <v>1</v>
      </c>
      <c r="DG35" s="47">
        <v>1</v>
      </c>
      <c r="DH35" s="47">
        <v>1</v>
      </c>
      <c r="DI35" s="47"/>
      <c r="DJ35" s="47"/>
      <c r="DK35" s="47"/>
      <c r="DL35" s="47"/>
      <c r="DM35" s="47"/>
      <c r="DN35" s="47">
        <v>3</v>
      </c>
      <c r="DO35" s="47">
        <v>2</v>
      </c>
      <c r="DP35" s="47">
        <v>3</v>
      </c>
      <c r="DQ35" s="47">
        <v>2</v>
      </c>
      <c r="DR35" s="47">
        <v>10</v>
      </c>
      <c r="DS35" s="47" t="s">
        <v>263</v>
      </c>
      <c r="DT35" s="47">
        <v>7</v>
      </c>
      <c r="DU35" s="47" t="s">
        <v>263</v>
      </c>
      <c r="DV35" s="47">
        <v>5</v>
      </c>
      <c r="DW35" s="47">
        <v>6</v>
      </c>
      <c r="DX35" s="47">
        <v>6</v>
      </c>
      <c r="DZ35" s="130">
        <v>8.4</v>
      </c>
      <c r="EA35" s="130">
        <v>7.9</v>
      </c>
      <c r="EB35" s="130">
        <v>7.4</v>
      </c>
      <c r="EC35" s="130">
        <v>8.1</v>
      </c>
      <c r="ED35" s="130">
        <v>7.3</v>
      </c>
      <c r="EE35" s="130">
        <v>25.2</v>
      </c>
      <c r="EF35" s="130">
        <v>23.7</v>
      </c>
      <c r="EG35" s="130">
        <v>22.5</v>
      </c>
      <c r="EH35" s="130">
        <v>25</v>
      </c>
      <c r="EI35" s="130">
        <v>22.5</v>
      </c>
      <c r="EJ35" s="132">
        <v>1.1100000000000001</v>
      </c>
      <c r="EK35" s="132">
        <v>1.38</v>
      </c>
      <c r="EL35" s="132">
        <v>1.1000000000000001</v>
      </c>
      <c r="EM35" s="132">
        <v>1.21</v>
      </c>
      <c r="EN35" s="52">
        <v>1.1200000000000001</v>
      </c>
      <c r="EO35" s="52"/>
      <c r="EP35" s="47">
        <v>150</v>
      </c>
      <c r="EQ35" s="47">
        <v>126</v>
      </c>
      <c r="ER35" s="47">
        <v>131</v>
      </c>
      <c r="ES35" s="47">
        <v>130</v>
      </c>
      <c r="ET35" s="47">
        <v>113</v>
      </c>
      <c r="EU35" s="47"/>
      <c r="EV35" s="47"/>
      <c r="EW35" s="47"/>
      <c r="EX35" s="47"/>
      <c r="EY35" s="47"/>
      <c r="EZ35" s="47"/>
      <c r="FA35" s="199">
        <v>0</v>
      </c>
      <c r="FB35" s="48">
        <v>42066</v>
      </c>
      <c r="FC35" s="176">
        <f t="shared" si="19"/>
        <v>5</v>
      </c>
      <c r="FD35" s="47"/>
    </row>
    <row r="36" spans="1:160" s="1" customFormat="1" x14ac:dyDescent="0.25">
      <c r="A36" s="196" t="s">
        <v>380</v>
      </c>
      <c r="B36" s="180" t="s">
        <v>388</v>
      </c>
      <c r="C36" s="213" t="s">
        <v>156</v>
      </c>
      <c r="D36" s="209" t="str">
        <f t="shared" si="0"/>
        <v xml:space="preserve">80 Y 3 M </v>
      </c>
      <c r="E36" s="47">
        <v>1</v>
      </c>
      <c r="F36" s="48">
        <v>12733</v>
      </c>
      <c r="G36" s="48">
        <v>42068</v>
      </c>
      <c r="H36" s="47">
        <v>167.6</v>
      </c>
      <c r="I36" s="47">
        <v>89.9</v>
      </c>
      <c r="J36" s="49">
        <f t="shared" si="11"/>
        <v>63.763861480000003</v>
      </c>
      <c r="K36" s="47">
        <f t="shared" si="12"/>
        <v>32.004545428654431</v>
      </c>
      <c r="L36" s="47">
        <v>0</v>
      </c>
      <c r="M36" s="47">
        <v>1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1</v>
      </c>
      <c r="U36" s="47">
        <v>3</v>
      </c>
      <c r="V36" s="47">
        <v>80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/>
      <c r="AJ36" s="47"/>
      <c r="AK36" s="47">
        <v>9.1999999999999993</v>
      </c>
      <c r="AL36" s="47">
        <v>31.3</v>
      </c>
      <c r="AM36" s="47">
        <v>1.35</v>
      </c>
      <c r="AN36" s="47" t="s">
        <v>128</v>
      </c>
      <c r="AO36" s="47"/>
      <c r="AP36" s="47">
        <f>(141+155)/2</f>
        <v>148</v>
      </c>
      <c r="AQ36" s="47">
        <f>(83+86)/2</f>
        <v>84.5</v>
      </c>
      <c r="AR36" s="47">
        <f t="shared" si="13"/>
        <v>105.66666666666667</v>
      </c>
      <c r="AS36" s="47">
        <f t="shared" si="14"/>
        <v>177.6</v>
      </c>
      <c r="AT36" s="47">
        <f t="shared" si="15"/>
        <v>118.4</v>
      </c>
      <c r="AU36" s="51">
        <v>0.32083333333333336</v>
      </c>
      <c r="AV36" s="51">
        <v>0.32430555555555557</v>
      </c>
      <c r="AW36" s="51">
        <v>0.5</v>
      </c>
      <c r="AX36" s="51">
        <v>0.25</v>
      </c>
      <c r="AY36" s="47">
        <v>12</v>
      </c>
      <c r="AZ36" s="47">
        <v>1</v>
      </c>
      <c r="BA36" s="47">
        <v>1000</v>
      </c>
      <c r="BB36" s="47">
        <v>109</v>
      </c>
      <c r="BC36" s="47">
        <v>51</v>
      </c>
      <c r="BD36" s="47">
        <v>72</v>
      </c>
      <c r="BE36" s="47">
        <v>107</v>
      </c>
      <c r="BF36" s="47">
        <v>1</v>
      </c>
      <c r="BG36" s="47">
        <v>150</v>
      </c>
      <c r="BH36" s="47">
        <v>100</v>
      </c>
      <c r="BI36" s="47">
        <v>0.6</v>
      </c>
      <c r="BJ36" s="47">
        <v>10</v>
      </c>
      <c r="BK36" s="47">
        <v>73</v>
      </c>
      <c r="BL36" s="47">
        <v>42</v>
      </c>
      <c r="BM36" s="47">
        <v>54</v>
      </c>
      <c r="BN36" s="47">
        <v>1</v>
      </c>
      <c r="BO36" s="47"/>
      <c r="BP36" s="47">
        <v>0</v>
      </c>
      <c r="BQ36" s="47">
        <v>1</v>
      </c>
      <c r="BR36" s="47" t="s">
        <v>386</v>
      </c>
      <c r="BS36" s="47">
        <v>640</v>
      </c>
      <c r="BT36" s="47">
        <v>40</v>
      </c>
      <c r="BU36" s="47">
        <v>0</v>
      </c>
      <c r="BV36" s="47">
        <v>0</v>
      </c>
      <c r="BW36" s="47">
        <v>100</v>
      </c>
      <c r="BX36" s="47">
        <v>0</v>
      </c>
      <c r="BY36" s="47">
        <v>1061</v>
      </c>
      <c r="BZ36" s="47">
        <v>2300</v>
      </c>
      <c r="CA36" s="47">
        <v>1000</v>
      </c>
      <c r="CB36" s="47">
        <v>6</v>
      </c>
      <c r="CC36" s="47">
        <v>8</v>
      </c>
      <c r="CD36" s="47">
        <v>6</v>
      </c>
      <c r="CE36" s="47"/>
      <c r="CF36" s="47"/>
      <c r="CG36" s="47"/>
      <c r="CH36" s="47"/>
      <c r="CI36" s="47"/>
      <c r="CJ36" s="47">
        <v>5</v>
      </c>
      <c r="CK36" s="47">
        <v>9.9</v>
      </c>
      <c r="CL36" s="47">
        <v>134</v>
      </c>
      <c r="CM36" s="47">
        <v>8.6999999999999993</v>
      </c>
      <c r="CN36" s="47">
        <v>154</v>
      </c>
      <c r="CO36" s="47">
        <v>0</v>
      </c>
      <c r="CP36" s="47" t="s">
        <v>387</v>
      </c>
      <c r="CQ36" s="47">
        <v>0</v>
      </c>
      <c r="CR36" s="47">
        <v>0</v>
      </c>
      <c r="CS36" s="47">
        <v>0</v>
      </c>
      <c r="CT36" s="47">
        <v>0</v>
      </c>
      <c r="CU36" s="47">
        <v>400</v>
      </c>
      <c r="CV36" s="47">
        <f t="shared" si="10"/>
        <v>3361</v>
      </c>
      <c r="CW36" s="51">
        <v>0.49444444444444446</v>
      </c>
      <c r="CX36" s="51">
        <v>0.54166666666666663</v>
      </c>
      <c r="CY36" s="51">
        <f t="shared" si="16"/>
        <v>4.7222222222222165E-2</v>
      </c>
      <c r="CZ36" s="55">
        <f t="shared" si="9"/>
        <v>67.999999999999915</v>
      </c>
      <c r="DA36" s="47">
        <v>111</v>
      </c>
      <c r="DB36" s="47">
        <v>61</v>
      </c>
      <c r="DC36" s="132">
        <f t="shared" si="17"/>
        <v>77.666666666666671</v>
      </c>
      <c r="DD36" s="47">
        <v>64</v>
      </c>
      <c r="DE36" s="47">
        <v>2</v>
      </c>
      <c r="DF36" s="47">
        <v>1</v>
      </c>
      <c r="DG36" s="47">
        <v>1</v>
      </c>
      <c r="DH36" s="47">
        <v>1</v>
      </c>
      <c r="DI36" s="47"/>
      <c r="DJ36" s="47"/>
      <c r="DK36" s="47"/>
      <c r="DL36" s="47"/>
      <c r="DM36" s="47"/>
      <c r="DN36" s="47">
        <v>5</v>
      </c>
      <c r="DO36" s="47">
        <v>5</v>
      </c>
      <c r="DP36" s="47">
        <v>6</v>
      </c>
      <c r="DQ36" s="47">
        <v>6</v>
      </c>
      <c r="DR36" s="47"/>
      <c r="DS36" s="47" t="s">
        <v>263</v>
      </c>
      <c r="DT36" s="47">
        <v>0</v>
      </c>
      <c r="DU36" s="47">
        <v>0</v>
      </c>
      <c r="DV36" s="47">
        <v>0</v>
      </c>
      <c r="DW36" s="47">
        <v>0</v>
      </c>
      <c r="DX36" s="47">
        <v>0</v>
      </c>
      <c r="DZ36" s="130">
        <v>9.1999999999999993</v>
      </c>
      <c r="EA36" s="130">
        <v>8.5</v>
      </c>
      <c r="EB36" s="130">
        <v>8.1</v>
      </c>
      <c r="EC36" s="130">
        <v>7.6</v>
      </c>
      <c r="ED36" s="130">
        <v>8.1</v>
      </c>
      <c r="EE36" s="130">
        <v>31.5</v>
      </c>
      <c r="EF36" s="130">
        <v>29.6</v>
      </c>
      <c r="EG36" s="130">
        <v>26.6</v>
      </c>
      <c r="EH36" s="130">
        <v>26.9</v>
      </c>
      <c r="EI36" s="130">
        <v>28.7</v>
      </c>
      <c r="EJ36" s="132">
        <v>1.53</v>
      </c>
      <c r="EK36" s="132">
        <v>1.41</v>
      </c>
      <c r="EL36" s="132">
        <v>1.37</v>
      </c>
      <c r="EM36" s="132">
        <v>1.22</v>
      </c>
      <c r="EN36" s="52">
        <v>1.31</v>
      </c>
      <c r="EO36" s="47"/>
      <c r="EP36" s="47">
        <v>124</v>
      </c>
      <c r="EQ36" s="47">
        <v>98</v>
      </c>
      <c r="ER36" s="47">
        <v>176</v>
      </c>
      <c r="ES36" s="47">
        <v>172</v>
      </c>
      <c r="ET36" s="47">
        <v>183</v>
      </c>
      <c r="EU36" s="47"/>
      <c r="EV36" s="47"/>
      <c r="EW36" s="47"/>
      <c r="EX36" s="47"/>
      <c r="EY36" s="47"/>
      <c r="EZ36" s="47"/>
      <c r="FA36" s="199">
        <v>0</v>
      </c>
      <c r="FB36" s="48">
        <v>42078</v>
      </c>
      <c r="FC36" s="176">
        <f t="shared" si="19"/>
        <v>10</v>
      </c>
      <c r="FD36" s="47"/>
    </row>
    <row r="37" spans="1:160" s="129" customFormat="1" x14ac:dyDescent="0.25">
      <c r="A37" s="196" t="s">
        <v>390</v>
      </c>
      <c r="B37" s="181" t="s">
        <v>385</v>
      </c>
      <c r="C37" s="129" t="s">
        <v>156</v>
      </c>
      <c r="D37" s="129" t="str">
        <f t="shared" si="0"/>
        <v xml:space="preserve">68 Y 7 M </v>
      </c>
      <c r="E37" s="129">
        <v>2</v>
      </c>
      <c r="F37" s="133">
        <v>17026</v>
      </c>
      <c r="G37" s="133">
        <v>42082</v>
      </c>
      <c r="H37" s="129">
        <v>154.9</v>
      </c>
      <c r="I37" s="129">
        <v>74.400000000000006</v>
      </c>
      <c r="J37" s="130">
        <f t="shared" si="11"/>
        <v>47.763855270000015</v>
      </c>
      <c r="K37" s="130">
        <f t="shared" si="12"/>
        <v>31.007739014862455</v>
      </c>
      <c r="L37" s="129">
        <v>1</v>
      </c>
      <c r="M37" s="129">
        <v>0</v>
      </c>
      <c r="N37" s="129">
        <v>0</v>
      </c>
      <c r="O37" s="129">
        <v>0</v>
      </c>
      <c r="P37" s="129">
        <v>0</v>
      </c>
      <c r="Q37" s="129">
        <v>0</v>
      </c>
      <c r="R37" s="129">
        <v>0</v>
      </c>
      <c r="S37" s="129">
        <v>0</v>
      </c>
      <c r="T37" s="129">
        <v>0</v>
      </c>
      <c r="U37" s="129">
        <v>0</v>
      </c>
      <c r="V37" s="129">
        <v>0</v>
      </c>
      <c r="W37" s="129">
        <v>0</v>
      </c>
      <c r="X37" s="129">
        <v>0</v>
      </c>
      <c r="Y37" s="129">
        <v>0</v>
      </c>
      <c r="Z37" s="129">
        <v>0</v>
      </c>
      <c r="AA37" s="129">
        <v>0</v>
      </c>
      <c r="AB37" s="129">
        <v>0</v>
      </c>
      <c r="AC37" s="129">
        <v>0</v>
      </c>
      <c r="AD37" s="129">
        <v>0</v>
      </c>
      <c r="AE37" s="129">
        <v>0</v>
      </c>
      <c r="AF37" s="129">
        <v>0</v>
      </c>
      <c r="AG37" s="129">
        <v>0</v>
      </c>
      <c r="AH37" s="129">
        <v>0</v>
      </c>
      <c r="AK37" s="129">
        <v>11.7</v>
      </c>
      <c r="AL37" s="129">
        <v>36.9</v>
      </c>
      <c r="AM37" s="129">
        <v>0.48</v>
      </c>
      <c r="AN37" s="129" t="s">
        <v>128</v>
      </c>
      <c r="AP37" s="129">
        <v>162</v>
      </c>
      <c r="AQ37" s="129">
        <v>90</v>
      </c>
      <c r="AR37" s="47">
        <f t="shared" si="13"/>
        <v>114</v>
      </c>
      <c r="AS37" s="47">
        <f t="shared" si="14"/>
        <v>194.4</v>
      </c>
      <c r="AT37" s="47">
        <f t="shared" si="15"/>
        <v>129.6</v>
      </c>
      <c r="AU37" s="215">
        <v>0.32916666666666666</v>
      </c>
      <c r="AV37" s="215">
        <v>0.33749999999999997</v>
      </c>
      <c r="AW37" s="131">
        <v>0.4680555555555555</v>
      </c>
      <c r="AX37" s="131">
        <v>0.23611111111111113</v>
      </c>
      <c r="AY37" s="129">
        <v>8.1</v>
      </c>
      <c r="AZ37" s="129">
        <v>1</v>
      </c>
      <c r="BA37" s="129">
        <v>1000</v>
      </c>
      <c r="BB37" s="208">
        <v>104</v>
      </c>
      <c r="BC37" s="208">
        <v>55</v>
      </c>
      <c r="BD37" s="208">
        <v>74</v>
      </c>
      <c r="BE37" s="208">
        <v>80</v>
      </c>
      <c r="BF37" s="208">
        <v>1</v>
      </c>
      <c r="BG37" s="208">
        <v>80</v>
      </c>
      <c r="BH37" s="208">
        <v>150</v>
      </c>
      <c r="BI37" s="208">
        <v>0.4</v>
      </c>
      <c r="BJ37" s="208">
        <v>9</v>
      </c>
      <c r="BK37" s="208">
        <v>85</v>
      </c>
      <c r="BL37" s="208">
        <v>49</v>
      </c>
      <c r="BM37" s="208">
        <v>64</v>
      </c>
      <c r="BN37" s="208">
        <v>1</v>
      </c>
      <c r="BO37" s="208">
        <v>33</v>
      </c>
      <c r="BP37" s="208">
        <v>0</v>
      </c>
      <c r="BQ37" s="208">
        <v>1</v>
      </c>
      <c r="BR37" s="208">
        <v>0.314</v>
      </c>
      <c r="BS37" s="208">
        <v>720</v>
      </c>
      <c r="BT37" s="208">
        <v>20</v>
      </c>
      <c r="BU37" s="208">
        <v>0</v>
      </c>
      <c r="BV37" s="208">
        <v>0</v>
      </c>
      <c r="BW37" s="208">
        <v>150</v>
      </c>
      <c r="BX37" s="208">
        <v>0</v>
      </c>
      <c r="BY37" s="208">
        <v>500</v>
      </c>
      <c r="BZ37" s="208">
        <v>2200</v>
      </c>
      <c r="CA37" s="208">
        <v>1250</v>
      </c>
      <c r="CB37" s="208">
        <v>6</v>
      </c>
      <c r="CC37" s="208">
        <v>9</v>
      </c>
      <c r="CD37" s="208"/>
      <c r="CE37" s="208"/>
      <c r="CF37" s="208"/>
      <c r="CG37" s="208"/>
      <c r="CH37" s="208"/>
      <c r="CI37" s="208"/>
      <c r="CJ37" s="208">
        <v>8</v>
      </c>
      <c r="CK37" s="208">
        <v>9.9</v>
      </c>
      <c r="CL37" s="208">
        <v>164</v>
      </c>
      <c r="CM37" s="208">
        <v>6.9</v>
      </c>
      <c r="CN37" s="208">
        <v>164</v>
      </c>
      <c r="CO37" s="208">
        <v>0</v>
      </c>
      <c r="CP37" s="208">
        <v>1</v>
      </c>
      <c r="CQ37" s="208">
        <v>0</v>
      </c>
      <c r="CR37" s="208">
        <v>0</v>
      </c>
      <c r="CS37" s="208">
        <v>0</v>
      </c>
      <c r="CT37" s="208">
        <v>0</v>
      </c>
      <c r="CU37" s="129">
        <v>0</v>
      </c>
      <c r="CV37" s="47">
        <f t="shared" si="10"/>
        <v>2700</v>
      </c>
      <c r="CW37" s="51">
        <v>0.4597222222222222</v>
      </c>
      <c r="CX37" s="51">
        <v>0.54166666666666663</v>
      </c>
      <c r="CY37" s="51">
        <f t="shared" si="16"/>
        <v>8.1944444444444431E-2</v>
      </c>
      <c r="CZ37" s="55">
        <f t="shared" si="9"/>
        <v>117.99999999999999</v>
      </c>
      <c r="DA37" s="129">
        <v>95</v>
      </c>
      <c r="DB37" s="129">
        <v>51</v>
      </c>
      <c r="DC37" s="132">
        <f t="shared" si="17"/>
        <v>65.666666666666671</v>
      </c>
      <c r="DD37" s="47">
        <v>64</v>
      </c>
      <c r="DE37" s="129">
        <v>2</v>
      </c>
      <c r="DF37" s="129">
        <v>1</v>
      </c>
      <c r="DG37" s="129">
        <v>1</v>
      </c>
      <c r="DH37" s="129">
        <v>0</v>
      </c>
      <c r="DN37" s="129">
        <v>7</v>
      </c>
      <c r="DO37" s="129">
        <v>3</v>
      </c>
      <c r="DP37" s="129">
        <v>5</v>
      </c>
      <c r="DQ37" s="129">
        <v>5</v>
      </c>
      <c r="DS37" s="129">
        <v>6</v>
      </c>
      <c r="DT37" s="129">
        <v>0</v>
      </c>
      <c r="DU37" s="129">
        <v>2</v>
      </c>
      <c r="DV37" s="129">
        <v>2</v>
      </c>
      <c r="DW37" s="129">
        <v>0</v>
      </c>
      <c r="DX37" s="129">
        <v>5</v>
      </c>
      <c r="DZ37" s="130">
        <v>9.5</v>
      </c>
      <c r="EA37" s="130">
        <v>8.5</v>
      </c>
      <c r="EB37" s="130">
        <v>8.4</v>
      </c>
      <c r="EC37" s="130">
        <v>8.4</v>
      </c>
      <c r="ED37" s="130">
        <v>8.9</v>
      </c>
      <c r="EE37" s="130">
        <v>31.7</v>
      </c>
      <c r="EF37" s="130">
        <v>27.7</v>
      </c>
      <c r="EG37" s="130">
        <v>27.2</v>
      </c>
      <c r="EH37" s="130">
        <v>28.1</v>
      </c>
      <c r="EI37" s="130">
        <v>29.6</v>
      </c>
      <c r="EJ37" s="132">
        <v>0.49</v>
      </c>
      <c r="EK37" s="132">
        <v>0.48</v>
      </c>
      <c r="EL37" s="132">
        <v>0.42</v>
      </c>
      <c r="EM37" s="132">
        <v>0.43</v>
      </c>
      <c r="EN37" s="220"/>
      <c r="EO37" s="219"/>
      <c r="EP37" s="129">
        <v>100</v>
      </c>
      <c r="EQ37" s="129">
        <v>91</v>
      </c>
      <c r="ER37" s="129">
        <v>137</v>
      </c>
      <c r="ES37" s="129">
        <v>112</v>
      </c>
      <c r="FA37" s="199">
        <v>0</v>
      </c>
      <c r="FB37" s="133">
        <v>42091</v>
      </c>
      <c r="FC37" s="176">
        <f t="shared" si="19"/>
        <v>9</v>
      </c>
    </row>
    <row r="38" spans="1:160" x14ac:dyDescent="0.25">
      <c r="A38" s="116" t="s">
        <v>391</v>
      </c>
      <c r="B38" s="55">
        <v>100034134427</v>
      </c>
      <c r="C38" s="47" t="s">
        <v>156</v>
      </c>
      <c r="D38" s="129" t="str">
        <f t="shared" si="0"/>
        <v xml:space="preserve">72 Y 9 M </v>
      </c>
      <c r="E38" s="47">
        <v>1</v>
      </c>
      <c r="F38" s="48">
        <v>15524</v>
      </c>
      <c r="G38" s="48">
        <v>42110</v>
      </c>
      <c r="H38" s="47">
        <v>177.8</v>
      </c>
      <c r="I38" s="47">
        <v>86</v>
      </c>
      <c r="J38" s="49">
        <f t="shared" si="11"/>
        <v>73.000086940000031</v>
      </c>
      <c r="K38" s="130">
        <f t="shared" si="12"/>
        <v>27.204136040925142</v>
      </c>
      <c r="L38" s="47">
        <v>1</v>
      </c>
      <c r="M38" s="47">
        <v>1</v>
      </c>
      <c r="N38" s="47">
        <v>0</v>
      </c>
      <c r="O38" s="47">
        <v>0</v>
      </c>
      <c r="P38" s="47">
        <v>0</v>
      </c>
      <c r="Q38" s="213"/>
      <c r="R38" s="213"/>
      <c r="S38" s="213"/>
      <c r="T38" s="213"/>
      <c r="U38" s="213"/>
      <c r="V38" s="213"/>
      <c r="W38" s="213"/>
      <c r="X38" s="213"/>
      <c r="Y38" s="213"/>
      <c r="Z38" s="213"/>
      <c r="AA38" s="213"/>
      <c r="AB38" s="213"/>
      <c r="AC38" s="213"/>
      <c r="AD38" s="213"/>
      <c r="AE38" s="213"/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8"/>
      <c r="AV38" s="218"/>
      <c r="AW38" s="213"/>
      <c r="AX38" s="213"/>
      <c r="AY38" s="213"/>
      <c r="AZ38" s="213"/>
      <c r="BA38" s="213"/>
      <c r="BB38" s="47">
        <v>165</v>
      </c>
      <c r="BC38" s="47">
        <v>81</v>
      </c>
      <c r="BD38" s="47">
        <v>111</v>
      </c>
      <c r="BE38" s="47">
        <v>53</v>
      </c>
      <c r="BF38" s="47">
        <v>1</v>
      </c>
      <c r="BG38" s="47">
        <v>150</v>
      </c>
      <c r="BH38" s="47">
        <v>100</v>
      </c>
      <c r="BI38" s="47">
        <v>0.5</v>
      </c>
      <c r="BJ38" s="47">
        <v>12</v>
      </c>
      <c r="BK38" s="47">
        <v>84</v>
      </c>
      <c r="BL38" s="47">
        <v>50</v>
      </c>
      <c r="BM38" s="47">
        <v>61</v>
      </c>
      <c r="BN38" s="47">
        <v>1</v>
      </c>
      <c r="BO38" s="47">
        <v>13</v>
      </c>
      <c r="BP38" s="47">
        <v>0.2</v>
      </c>
      <c r="BQ38" s="47">
        <v>1</v>
      </c>
      <c r="BR38" s="47">
        <v>0.30299999999999999</v>
      </c>
      <c r="BS38" s="47">
        <v>960</v>
      </c>
      <c r="BT38" s="47">
        <v>25</v>
      </c>
      <c r="BU38" s="47">
        <v>0</v>
      </c>
      <c r="BV38" s="47">
        <v>0</v>
      </c>
      <c r="BW38" s="47">
        <v>100</v>
      </c>
      <c r="BX38" s="47">
        <v>0</v>
      </c>
      <c r="BY38" s="47">
        <v>1444</v>
      </c>
      <c r="BZ38" s="47">
        <v>3000</v>
      </c>
      <c r="CA38" s="47">
        <v>1000</v>
      </c>
      <c r="CB38" s="47">
        <v>9</v>
      </c>
      <c r="CC38" s="47">
        <v>7</v>
      </c>
      <c r="CD38" s="47">
        <v>8</v>
      </c>
      <c r="CE38" s="47">
        <v>5</v>
      </c>
      <c r="CJ38" s="47">
        <v>4</v>
      </c>
      <c r="CK38" s="47">
        <v>11</v>
      </c>
      <c r="CL38" s="47">
        <v>160</v>
      </c>
      <c r="CM38" s="47">
        <v>10.4</v>
      </c>
      <c r="CN38" s="47">
        <v>169</v>
      </c>
      <c r="CO38" s="47">
        <v>1</v>
      </c>
      <c r="CP38" s="47">
        <v>1</v>
      </c>
      <c r="CQ38" s="47">
        <v>0</v>
      </c>
      <c r="CR38" s="47">
        <v>0</v>
      </c>
      <c r="CS38" s="47">
        <v>0</v>
      </c>
      <c r="CT38" s="47">
        <v>0</v>
      </c>
      <c r="CU38" s="47">
        <v>1200</v>
      </c>
      <c r="CV38" s="47">
        <f t="shared" si="10"/>
        <v>4444</v>
      </c>
      <c r="CW38" s="240">
        <v>0.5131944444444444</v>
      </c>
      <c r="CX38" s="240">
        <v>0.55208333333333337</v>
      </c>
      <c r="CY38" s="240">
        <f t="shared" si="16"/>
        <v>3.8888888888888973E-2</v>
      </c>
      <c r="CZ38" s="243">
        <f t="shared" si="9"/>
        <v>56.000000000000121</v>
      </c>
      <c r="DA38" s="213"/>
      <c r="DB38" s="213"/>
      <c r="DC38" s="213"/>
      <c r="DD38" s="213"/>
      <c r="DE38" s="47">
        <v>1</v>
      </c>
      <c r="DF38" s="47">
        <v>1</v>
      </c>
      <c r="DG38" s="47">
        <v>1</v>
      </c>
      <c r="DH38" s="47">
        <v>1</v>
      </c>
      <c r="DI38" s="213">
        <v>6</v>
      </c>
      <c r="DJ38" s="213">
        <v>12</v>
      </c>
      <c r="DK38" s="213">
        <v>3</v>
      </c>
      <c r="DL38" s="213"/>
      <c r="DM38" s="213"/>
      <c r="DN38" s="47">
        <v>2</v>
      </c>
      <c r="DO38" s="47">
        <v>3</v>
      </c>
      <c r="DP38" s="47">
        <v>5</v>
      </c>
      <c r="DQ38" s="47">
        <v>4</v>
      </c>
      <c r="DR38" s="213"/>
      <c r="DS38" s="47" t="s">
        <v>263</v>
      </c>
      <c r="DT38" s="47">
        <v>0</v>
      </c>
      <c r="DU38" s="47">
        <v>1</v>
      </c>
      <c r="DV38" s="47">
        <v>1</v>
      </c>
      <c r="DW38" s="47">
        <v>0</v>
      </c>
      <c r="DX38" s="47">
        <v>0</v>
      </c>
      <c r="DZ38" s="213"/>
      <c r="EA38" s="213"/>
      <c r="EB38" s="213"/>
      <c r="EC38" s="213"/>
      <c r="ED38" s="213"/>
      <c r="EE38" s="213"/>
      <c r="EF38" s="213"/>
      <c r="EG38" s="213"/>
      <c r="EH38" s="213"/>
      <c r="EI38" s="213"/>
      <c r="EJ38" s="213"/>
      <c r="EK38" s="213"/>
      <c r="EL38" s="213"/>
      <c r="EM38" s="213"/>
      <c r="EN38" s="213"/>
      <c r="EO38" s="213"/>
      <c r="EP38" s="213"/>
      <c r="EQ38" s="213"/>
      <c r="ER38" s="213"/>
      <c r="ES38" s="213"/>
      <c r="ET38" s="213"/>
      <c r="EU38" s="213"/>
      <c r="EV38" s="213"/>
      <c r="EW38" s="213"/>
      <c r="EX38" s="213"/>
      <c r="EY38" s="213"/>
      <c r="EZ38" s="213"/>
      <c r="FA38" s="199">
        <v>0</v>
      </c>
      <c r="FB38" s="48">
        <v>42116</v>
      </c>
      <c r="FC38" s="176">
        <f t="shared" si="19"/>
        <v>6</v>
      </c>
    </row>
    <row r="39" spans="1:160" x14ac:dyDescent="0.25">
      <c r="FB39" s="48"/>
      <c r="FC39" s="176"/>
    </row>
    <row r="40" spans="1:160" x14ac:dyDescent="0.25">
      <c r="FB40" s="48"/>
      <c r="FC40" s="176"/>
    </row>
    <row r="41" spans="1:160" x14ac:dyDescent="0.25">
      <c r="FB41" s="48"/>
      <c r="FC41" s="176"/>
    </row>
    <row r="42" spans="1:160" x14ac:dyDescent="0.25">
      <c r="FB42" s="48"/>
      <c r="FC42" s="176"/>
    </row>
    <row r="43" spans="1:160" x14ac:dyDescent="0.25">
      <c r="FB43" s="48"/>
      <c r="FC43" s="176"/>
    </row>
    <row r="44" spans="1:160" x14ac:dyDescent="0.25">
      <c r="A44" s="117"/>
      <c r="B44" s="63"/>
      <c r="C44" s="53"/>
      <c r="D44" s="53"/>
      <c r="E44" s="53"/>
      <c r="F44" s="53"/>
      <c r="H44" s="49"/>
      <c r="I44" s="49"/>
      <c r="J44" s="49"/>
      <c r="K44" s="49"/>
      <c r="Y44" s="49"/>
      <c r="AK44" s="49"/>
      <c r="AP44" s="49"/>
      <c r="AQ44" s="49"/>
      <c r="AR44" s="49"/>
      <c r="AS44" s="49"/>
      <c r="AT44" s="49"/>
      <c r="DC44" s="49"/>
      <c r="FB44" s="48"/>
      <c r="FC44" s="176"/>
    </row>
    <row r="45" spans="1:160" x14ac:dyDescent="0.25">
      <c r="A45" s="117"/>
      <c r="B45" s="63"/>
      <c r="C45" s="53"/>
      <c r="D45" s="53"/>
      <c r="E45" s="53"/>
      <c r="F45" s="53"/>
      <c r="H45" s="49"/>
      <c r="I45" s="49"/>
      <c r="J45" s="49"/>
      <c r="K45" s="49"/>
      <c r="Y45" s="49"/>
      <c r="AK45" s="49"/>
      <c r="AP45" s="49"/>
      <c r="AQ45" s="49"/>
      <c r="AR45" s="49"/>
      <c r="AS45" s="49"/>
      <c r="AT45" s="49"/>
      <c r="DC45" s="49"/>
      <c r="FB45" s="48"/>
      <c r="FC45" s="176"/>
    </row>
    <row r="46" spans="1:160" x14ac:dyDescent="0.25">
      <c r="A46" s="117"/>
      <c r="B46" s="63"/>
      <c r="C46" s="53"/>
      <c r="D46" s="53"/>
      <c r="E46" s="53"/>
      <c r="F46" s="53"/>
      <c r="H46" s="49"/>
      <c r="I46" s="49"/>
      <c r="J46" s="49"/>
      <c r="K46" s="49"/>
      <c r="Y46" s="49"/>
      <c r="AK46" s="49"/>
      <c r="AP46" s="49"/>
      <c r="AQ46" s="49"/>
      <c r="AR46" s="49"/>
      <c r="AS46" s="49"/>
      <c r="AT46" s="49"/>
      <c r="DC46" s="49"/>
      <c r="FB46" s="48"/>
      <c r="FC46" s="176"/>
    </row>
    <row r="47" spans="1:160" x14ac:dyDescent="0.25">
      <c r="A47" s="117"/>
      <c r="B47" s="63"/>
      <c r="C47" s="53"/>
      <c r="D47" s="53"/>
      <c r="E47" s="53"/>
      <c r="F47" s="53"/>
      <c r="H47" s="49"/>
      <c r="I47" s="49"/>
      <c r="J47" s="49"/>
      <c r="K47" s="49"/>
      <c r="Y47" s="49"/>
      <c r="AK47" s="49"/>
      <c r="AP47" s="49"/>
      <c r="AQ47" s="49"/>
      <c r="AR47" s="49"/>
      <c r="AS47" s="49"/>
      <c r="AT47" s="49"/>
      <c r="DC47" s="49"/>
      <c r="FB47" s="48"/>
      <c r="FC47" s="176"/>
    </row>
    <row r="48" spans="1:160" x14ac:dyDescent="0.25">
      <c r="A48" s="117"/>
      <c r="B48" s="63"/>
      <c r="C48" s="53"/>
      <c r="D48" s="53"/>
      <c r="E48" s="53"/>
      <c r="F48" s="53"/>
      <c r="H48" s="49"/>
      <c r="I48" s="49"/>
      <c r="J48" s="49"/>
      <c r="K48" s="49"/>
      <c r="Y48" s="49"/>
      <c r="AK48" s="49"/>
      <c r="AP48" s="49"/>
      <c r="AQ48" s="49"/>
      <c r="AR48" s="49"/>
      <c r="AS48" s="49"/>
      <c r="AT48" s="49"/>
      <c r="DC48" s="49"/>
      <c r="FB48" s="48"/>
      <c r="FC48" s="176"/>
    </row>
    <row r="49" spans="1:159" x14ac:dyDescent="0.25">
      <c r="A49" s="117"/>
      <c r="B49" s="63"/>
      <c r="C49" s="53"/>
      <c r="D49" s="53"/>
      <c r="E49" s="53"/>
      <c r="F49" s="53"/>
      <c r="H49" s="49"/>
      <c r="I49" s="49"/>
      <c r="J49" s="49"/>
      <c r="K49" s="49"/>
      <c r="Y49" s="49"/>
      <c r="AK49" s="49"/>
      <c r="AP49" s="49"/>
      <c r="AQ49" s="49"/>
      <c r="AR49" s="49"/>
      <c r="AS49" s="49"/>
      <c r="AT49" s="49"/>
      <c r="DC49" s="49"/>
      <c r="FB49" s="48"/>
      <c r="FC49" s="176"/>
    </row>
    <row r="50" spans="1:159" x14ac:dyDescent="0.25">
      <c r="A50" s="117"/>
      <c r="B50" s="63"/>
      <c r="C50" s="53"/>
      <c r="D50" s="53"/>
      <c r="E50" s="53"/>
      <c r="F50" s="53"/>
      <c r="G50" s="174"/>
      <c r="H50" s="49"/>
      <c r="I50" s="49"/>
      <c r="J50" s="49"/>
      <c r="K50" s="49"/>
      <c r="Y50" s="49"/>
      <c r="AK50" s="49"/>
      <c r="AP50" s="49"/>
      <c r="AQ50" s="49"/>
      <c r="AR50" s="49"/>
      <c r="AS50" s="49"/>
      <c r="AT50" s="49"/>
      <c r="DC50" s="49"/>
      <c r="FB50" s="48"/>
      <c r="FC50" s="176"/>
    </row>
    <row r="51" spans="1:159" x14ac:dyDescent="0.25">
      <c r="A51" s="117"/>
      <c r="B51" s="63"/>
      <c r="C51" s="53"/>
      <c r="D51" s="53"/>
      <c r="E51" s="53"/>
      <c r="F51" s="53"/>
      <c r="G51" s="174"/>
      <c r="H51" s="49"/>
      <c r="I51" s="49"/>
      <c r="J51" s="49"/>
      <c r="K51" s="49"/>
      <c r="Y51" s="49"/>
      <c r="AK51" s="49"/>
      <c r="AP51" s="49"/>
      <c r="AQ51" s="49"/>
      <c r="AR51" s="49"/>
      <c r="AS51" s="49"/>
      <c r="AT51" s="49"/>
      <c r="DC51" s="49"/>
      <c r="FB51" s="48"/>
      <c r="FC51" s="176"/>
    </row>
    <row r="52" spans="1:159" x14ac:dyDescent="0.25">
      <c r="A52" s="117"/>
      <c r="B52" s="63"/>
      <c r="C52" s="53"/>
      <c r="D52" s="53"/>
      <c r="E52" s="53"/>
      <c r="F52" s="53"/>
      <c r="G52" s="174"/>
      <c r="H52" s="49"/>
      <c r="I52" s="49"/>
      <c r="J52" s="49"/>
      <c r="K52" s="49"/>
      <c r="Y52" s="49"/>
      <c r="AK52" s="49"/>
      <c r="AP52" s="49"/>
      <c r="AQ52" s="49"/>
      <c r="AR52" s="49"/>
      <c r="AS52" s="49"/>
      <c r="AT52" s="49"/>
      <c r="DC52" s="49"/>
      <c r="FB52" s="48"/>
      <c r="FC52" s="176"/>
    </row>
    <row r="53" spans="1:159" x14ac:dyDescent="0.25">
      <c r="A53" s="117"/>
      <c r="B53" s="63"/>
      <c r="C53" s="53"/>
      <c r="D53" s="53"/>
      <c r="E53" s="53"/>
      <c r="F53" s="53"/>
      <c r="G53" s="174"/>
      <c r="H53" s="49"/>
      <c r="I53" s="49"/>
      <c r="J53" s="49"/>
      <c r="K53" s="49"/>
      <c r="Y53" s="49"/>
      <c r="AK53" s="49"/>
      <c r="AP53" s="49"/>
      <c r="AQ53" s="49"/>
      <c r="AR53" s="49"/>
      <c r="AS53" s="49"/>
      <c r="AT53" s="49"/>
      <c r="DC53" s="49"/>
      <c r="FB53" s="48"/>
      <c r="FC53" s="176"/>
    </row>
    <row r="54" spans="1:159" x14ac:dyDescent="0.25">
      <c r="A54" s="117"/>
      <c r="B54" s="63"/>
      <c r="C54" s="53"/>
      <c r="D54" s="53"/>
      <c r="E54" s="53"/>
      <c r="F54" s="53"/>
      <c r="G54" s="174"/>
      <c r="H54" s="49"/>
      <c r="I54" s="49"/>
      <c r="J54" s="49"/>
      <c r="K54" s="49"/>
      <c r="Y54" s="49"/>
      <c r="AK54" s="49"/>
      <c r="AP54" s="49"/>
      <c r="AQ54" s="49"/>
      <c r="AR54" s="49"/>
      <c r="AS54" s="49"/>
      <c r="AT54" s="49"/>
      <c r="DC54" s="49"/>
      <c r="FB54" s="48"/>
      <c r="FC54" s="176"/>
    </row>
    <row r="55" spans="1:159" x14ac:dyDescent="0.25">
      <c r="A55" s="117"/>
      <c r="B55" s="63"/>
      <c r="C55" s="53"/>
      <c r="D55" s="53"/>
      <c r="E55" s="53"/>
      <c r="F55" s="53"/>
      <c r="G55" s="174"/>
      <c r="H55" s="49"/>
      <c r="I55" s="49"/>
      <c r="J55" s="49"/>
      <c r="K55" s="49"/>
      <c r="Y55" s="49"/>
      <c r="AK55" s="49"/>
      <c r="AP55" s="49"/>
      <c r="AQ55" s="49"/>
      <c r="AR55" s="49"/>
      <c r="AS55" s="49"/>
      <c r="AT55" s="49"/>
      <c r="DC55" s="49"/>
      <c r="FB55" s="48"/>
      <c r="FC55" s="176"/>
    </row>
    <row r="56" spans="1:159" x14ac:dyDescent="0.25">
      <c r="A56" s="117"/>
      <c r="B56" s="63"/>
      <c r="C56" s="53"/>
      <c r="D56" s="53"/>
      <c r="E56" s="53"/>
      <c r="F56" s="53"/>
      <c r="G56" s="174"/>
      <c r="H56" s="49"/>
      <c r="I56" s="49"/>
      <c r="J56" s="49"/>
      <c r="K56" s="49"/>
      <c r="Y56" s="49"/>
      <c r="AK56" s="49"/>
      <c r="AP56" s="49"/>
      <c r="AQ56" s="49"/>
      <c r="AR56" s="49"/>
      <c r="AS56" s="49"/>
      <c r="AT56" s="49"/>
      <c r="DC56" s="49"/>
      <c r="FB56" s="48"/>
      <c r="FC56" s="176"/>
    </row>
    <row r="57" spans="1:159" x14ac:dyDescent="0.25">
      <c r="A57" s="117"/>
      <c r="B57" s="63"/>
      <c r="C57" s="53"/>
      <c r="D57" s="53"/>
      <c r="E57" s="53"/>
      <c r="F57" s="53"/>
      <c r="G57" s="174"/>
      <c r="H57" s="49"/>
      <c r="I57" s="49"/>
      <c r="J57" s="49"/>
      <c r="K57" s="49"/>
      <c r="Y57" s="49"/>
      <c r="AK57" s="49"/>
      <c r="AP57" s="49"/>
      <c r="AQ57" s="49"/>
      <c r="AR57" s="49"/>
      <c r="AS57" s="49"/>
      <c r="AT57" s="49"/>
      <c r="DC57" s="49"/>
      <c r="FB57" s="48"/>
      <c r="FC57" s="176"/>
    </row>
    <row r="58" spans="1:159" x14ac:dyDescent="0.25">
      <c r="A58" s="117"/>
      <c r="B58" s="63"/>
      <c r="C58" s="53"/>
      <c r="D58" s="53"/>
      <c r="E58" s="53"/>
      <c r="F58" s="53"/>
      <c r="G58" s="174"/>
      <c r="H58" s="49"/>
      <c r="I58" s="49"/>
      <c r="J58" s="49"/>
      <c r="K58" s="49"/>
      <c r="Y58" s="49"/>
      <c r="AK58" s="49"/>
      <c r="AP58" s="49"/>
      <c r="AQ58" s="49"/>
      <c r="AR58" s="49"/>
      <c r="AS58" s="49"/>
      <c r="AT58" s="49"/>
      <c r="DC58" s="49"/>
      <c r="FB58" s="48"/>
      <c r="FC58" s="176"/>
    </row>
    <row r="59" spans="1:159" x14ac:dyDescent="0.25">
      <c r="A59" s="117"/>
      <c r="B59" s="63"/>
      <c r="C59" s="53"/>
      <c r="D59" s="53"/>
      <c r="E59" s="53"/>
      <c r="F59" s="53"/>
      <c r="G59" s="174"/>
      <c r="H59" s="49"/>
      <c r="I59" s="49"/>
      <c r="J59" s="49"/>
      <c r="K59" s="49"/>
      <c r="Y59" s="49"/>
      <c r="AK59" s="49"/>
      <c r="AP59" s="49"/>
      <c r="AQ59" s="49"/>
      <c r="AR59" s="49"/>
      <c r="AS59" s="49"/>
      <c r="AT59" s="49"/>
      <c r="DC59" s="49"/>
      <c r="FB59" s="48"/>
      <c r="FC59" s="176"/>
    </row>
    <row r="60" spans="1:159" x14ac:dyDescent="0.25">
      <c r="A60" s="117"/>
      <c r="B60" s="63"/>
      <c r="C60" s="53"/>
      <c r="D60" s="53"/>
      <c r="E60" s="53"/>
      <c r="F60" s="53"/>
      <c r="G60" s="174"/>
      <c r="H60" s="49"/>
      <c r="I60" s="49"/>
      <c r="J60" s="49"/>
      <c r="K60" s="49"/>
      <c r="Y60" s="49"/>
      <c r="AK60" s="49"/>
      <c r="AP60" s="49"/>
      <c r="AQ60" s="49"/>
      <c r="AR60" s="49"/>
      <c r="AS60" s="49"/>
      <c r="AT60" s="49"/>
      <c r="DC60" s="49"/>
      <c r="FB60" s="48"/>
      <c r="FC60" s="176"/>
    </row>
    <row r="61" spans="1:159" x14ac:dyDescent="0.25">
      <c r="A61" s="117"/>
      <c r="B61" s="63"/>
      <c r="C61" s="53"/>
      <c r="D61" s="53"/>
      <c r="E61" s="53"/>
      <c r="F61" s="53"/>
      <c r="G61" s="174"/>
      <c r="H61" s="49"/>
      <c r="I61" s="49"/>
      <c r="J61" s="49"/>
      <c r="K61" s="49"/>
      <c r="Y61" s="49"/>
      <c r="AK61" s="49"/>
      <c r="AP61" s="49"/>
      <c r="AQ61" s="49"/>
      <c r="AR61" s="49"/>
      <c r="AS61" s="49"/>
      <c r="AT61" s="49"/>
      <c r="DC61" s="49"/>
      <c r="FB61" s="48"/>
      <c r="FC61" s="176"/>
    </row>
    <row r="62" spans="1:159" x14ac:dyDescent="0.25">
      <c r="A62" s="117"/>
      <c r="B62" s="63"/>
      <c r="C62" s="53"/>
      <c r="D62" s="53"/>
      <c r="E62" s="53"/>
      <c r="F62" s="53"/>
      <c r="G62" s="174"/>
      <c r="H62" s="49"/>
      <c r="I62" s="49"/>
      <c r="J62" s="49"/>
      <c r="K62" s="49"/>
      <c r="Y62" s="49"/>
      <c r="AK62" s="49"/>
      <c r="AP62" s="49"/>
      <c r="AQ62" s="49"/>
      <c r="AR62" s="49"/>
      <c r="AS62" s="49"/>
      <c r="AT62" s="49"/>
      <c r="DC62" s="49"/>
      <c r="FB62" s="48"/>
      <c r="FC62" s="176"/>
    </row>
    <row r="63" spans="1:159" x14ac:dyDescent="0.25">
      <c r="A63" s="117"/>
      <c r="B63" s="63"/>
      <c r="C63" s="53"/>
      <c r="D63" s="53"/>
      <c r="E63" s="53"/>
      <c r="F63" s="53"/>
      <c r="G63" s="174"/>
      <c r="H63" s="49"/>
      <c r="I63" s="49"/>
      <c r="J63" s="49"/>
      <c r="K63" s="49"/>
      <c r="Y63" s="49"/>
      <c r="AK63" s="49"/>
      <c r="AP63" s="49"/>
      <c r="AQ63" s="49"/>
      <c r="AR63" s="49"/>
      <c r="AS63" s="49"/>
      <c r="AT63" s="49"/>
      <c r="DC63" s="49"/>
      <c r="FB63" s="48"/>
      <c r="FC63" s="176"/>
    </row>
    <row r="64" spans="1:159" x14ac:dyDescent="0.25">
      <c r="A64" s="117"/>
      <c r="B64" s="63"/>
      <c r="C64" s="53"/>
      <c r="D64" s="53"/>
      <c r="E64" s="53"/>
      <c r="F64" s="53"/>
      <c r="G64" s="174"/>
      <c r="H64" s="49"/>
      <c r="I64" s="49"/>
      <c r="J64" s="49"/>
      <c r="K64" s="49"/>
      <c r="Y64" s="49"/>
      <c r="AK64" s="49"/>
      <c r="AP64" s="49"/>
      <c r="AQ64" s="49"/>
      <c r="AR64" s="49"/>
      <c r="AS64" s="49"/>
      <c r="AT64" s="49"/>
      <c r="DC64" s="49"/>
      <c r="FB64" s="48"/>
      <c r="FC64" s="176"/>
    </row>
    <row r="65" spans="1:159" x14ac:dyDescent="0.25">
      <c r="A65" s="117"/>
      <c r="B65" s="63"/>
      <c r="C65" s="53"/>
      <c r="D65" s="53"/>
      <c r="E65" s="53"/>
      <c r="F65" s="53"/>
      <c r="G65" s="174"/>
      <c r="H65" s="49"/>
      <c r="I65" s="49"/>
      <c r="J65" s="49"/>
      <c r="K65" s="49"/>
      <c r="Y65" s="49"/>
      <c r="AK65" s="49"/>
      <c r="AP65" s="49"/>
      <c r="AQ65" s="49"/>
      <c r="AR65" s="49"/>
      <c r="AS65" s="49"/>
      <c r="AT65" s="49"/>
      <c r="DC65" s="49"/>
      <c r="FB65" s="48"/>
      <c r="FC65" s="176"/>
    </row>
    <row r="66" spans="1:159" x14ac:dyDescent="0.25">
      <c r="A66" s="117"/>
      <c r="B66" s="63"/>
      <c r="C66" s="53"/>
      <c r="D66" s="53"/>
      <c r="E66" s="53"/>
      <c r="F66" s="53"/>
      <c r="G66" s="174"/>
      <c r="H66" s="49"/>
      <c r="I66" s="49"/>
      <c r="J66" s="49"/>
      <c r="K66" s="49"/>
      <c r="Y66" s="49"/>
      <c r="AK66" s="49"/>
      <c r="AP66" s="49"/>
      <c r="AQ66" s="49"/>
      <c r="AR66" s="49"/>
      <c r="AS66" s="49"/>
      <c r="AT66" s="49"/>
      <c r="DC66" s="49"/>
      <c r="FB66" s="48"/>
      <c r="FC66" s="176"/>
    </row>
    <row r="67" spans="1:159" x14ac:dyDescent="0.25">
      <c r="A67" s="117"/>
      <c r="B67" s="63"/>
      <c r="C67" s="53"/>
      <c r="D67" s="53"/>
      <c r="E67" s="53"/>
      <c r="F67" s="53"/>
      <c r="G67" s="174"/>
      <c r="H67" s="49"/>
      <c r="I67" s="49"/>
      <c r="J67" s="49"/>
      <c r="K67" s="49"/>
      <c r="Y67" s="49"/>
      <c r="AK67" s="49"/>
      <c r="AP67" s="49"/>
      <c r="AQ67" s="49"/>
      <c r="AR67" s="49"/>
      <c r="AS67" s="49"/>
      <c r="AT67" s="49"/>
      <c r="DC67" s="49"/>
      <c r="FB67" s="48"/>
      <c r="FC67" s="176"/>
    </row>
    <row r="68" spans="1:159" x14ac:dyDescent="0.25">
      <c r="A68" s="117"/>
      <c r="B68" s="63"/>
      <c r="C68" s="53"/>
      <c r="D68" s="53"/>
      <c r="E68" s="53"/>
      <c r="F68" s="53"/>
      <c r="G68" s="174"/>
      <c r="H68" s="49"/>
      <c r="I68" s="49"/>
      <c r="J68" s="49"/>
      <c r="K68" s="49"/>
      <c r="Y68" s="49"/>
      <c r="AK68" s="49"/>
      <c r="AP68" s="49"/>
      <c r="AQ68" s="49"/>
      <c r="AR68" s="49"/>
      <c r="AS68" s="49"/>
      <c r="AT68" s="49"/>
      <c r="DC68" s="49"/>
      <c r="FB68" s="48"/>
      <c r="FC68" s="176"/>
    </row>
    <row r="69" spans="1:159" x14ac:dyDescent="0.25">
      <c r="A69" s="117"/>
      <c r="B69" s="63"/>
      <c r="C69" s="53"/>
      <c r="D69" s="53"/>
      <c r="E69" s="53"/>
      <c r="F69" s="53"/>
      <c r="G69" s="174"/>
      <c r="H69" s="49"/>
      <c r="I69" s="49"/>
      <c r="J69" s="49"/>
      <c r="K69" s="49"/>
      <c r="Y69" s="49"/>
      <c r="AK69" s="49"/>
      <c r="AP69" s="49"/>
      <c r="AQ69" s="49"/>
      <c r="AR69" s="49"/>
      <c r="AS69" s="49"/>
      <c r="AT69" s="49"/>
      <c r="DC69" s="49"/>
      <c r="FB69" s="48"/>
      <c r="FC69" s="176"/>
    </row>
    <row r="70" spans="1:159" x14ac:dyDescent="0.25">
      <c r="A70" s="117"/>
      <c r="B70" s="63"/>
      <c r="C70" s="53"/>
      <c r="D70" s="53"/>
      <c r="E70" s="53"/>
      <c r="F70" s="53"/>
      <c r="G70" s="174"/>
      <c r="H70" s="49"/>
      <c r="I70" s="49"/>
      <c r="J70" s="49"/>
      <c r="K70" s="49"/>
      <c r="Y70" s="49"/>
      <c r="AK70" s="49"/>
      <c r="AP70" s="49"/>
      <c r="AQ70" s="49"/>
      <c r="AR70" s="49"/>
      <c r="AS70" s="49"/>
      <c r="AT70" s="49"/>
      <c r="DC70" s="49"/>
      <c r="FB70" s="48"/>
      <c r="FC70" s="176"/>
    </row>
    <row r="71" spans="1:159" x14ac:dyDescent="0.25">
      <c r="A71" s="117"/>
      <c r="B71" s="63"/>
      <c r="C71" s="53"/>
      <c r="D71" s="53"/>
      <c r="E71" s="53"/>
      <c r="F71" s="53"/>
      <c r="G71" s="174"/>
      <c r="H71" s="49"/>
      <c r="I71" s="49"/>
      <c r="J71" s="49"/>
      <c r="K71" s="49"/>
      <c r="Y71" s="49"/>
      <c r="AK71" s="49"/>
      <c r="AP71" s="49"/>
      <c r="AQ71" s="49"/>
      <c r="AR71" s="49"/>
      <c r="AS71" s="49"/>
      <c r="AT71" s="49"/>
      <c r="DC71" s="49"/>
      <c r="FB71" s="48"/>
      <c r="FC71" s="176"/>
    </row>
    <row r="72" spans="1:159" x14ac:dyDescent="0.25">
      <c r="A72" s="117"/>
      <c r="B72" s="63"/>
      <c r="C72" s="53"/>
      <c r="D72" s="53"/>
      <c r="E72" s="53"/>
      <c r="F72" s="53"/>
      <c r="G72" s="174"/>
      <c r="H72" s="49"/>
      <c r="I72" s="49"/>
      <c r="J72" s="49"/>
      <c r="K72" s="49"/>
      <c r="Y72" s="49"/>
      <c r="AK72" s="49"/>
      <c r="AP72" s="49"/>
      <c r="AQ72" s="49"/>
      <c r="AR72" s="49"/>
      <c r="AS72" s="49"/>
      <c r="AT72" s="49"/>
      <c r="DC72" s="49"/>
      <c r="FB72" s="48"/>
      <c r="FC72" s="176"/>
    </row>
    <row r="73" spans="1:159" x14ac:dyDescent="0.25">
      <c r="A73" s="117"/>
      <c r="B73" s="63"/>
      <c r="C73" s="53"/>
      <c r="D73" s="53"/>
      <c r="E73" s="53"/>
      <c r="F73" s="53"/>
      <c r="G73" s="174"/>
      <c r="H73" s="49"/>
      <c r="I73" s="49"/>
      <c r="J73" s="49"/>
      <c r="K73" s="49"/>
      <c r="Y73" s="49"/>
      <c r="AK73" s="49"/>
      <c r="AP73" s="49"/>
      <c r="AQ73" s="49"/>
      <c r="AR73" s="49"/>
      <c r="AS73" s="49"/>
      <c r="AT73" s="49"/>
      <c r="DC73" s="49"/>
      <c r="FB73" s="48"/>
      <c r="FC73" s="176"/>
    </row>
    <row r="74" spans="1:159" x14ac:dyDescent="0.25">
      <c r="A74" s="117"/>
      <c r="B74" s="63"/>
      <c r="C74" s="53"/>
      <c r="D74" s="53"/>
      <c r="E74" s="53"/>
      <c r="F74" s="53"/>
      <c r="G74" s="174"/>
      <c r="H74" s="49"/>
      <c r="I74" s="49"/>
      <c r="J74" s="49"/>
      <c r="K74" s="49"/>
      <c r="Y74" s="49"/>
      <c r="AK74" s="49"/>
      <c r="AP74" s="49"/>
      <c r="AQ74" s="49"/>
      <c r="AR74" s="49"/>
      <c r="AS74" s="49"/>
      <c r="AT74" s="49"/>
      <c r="DC74" s="49"/>
      <c r="FB74" s="48"/>
      <c r="FC74" s="176"/>
    </row>
    <row r="75" spans="1:159" x14ac:dyDescent="0.25">
      <c r="A75" s="117"/>
      <c r="B75" s="63"/>
      <c r="C75" s="53"/>
      <c r="D75" s="53"/>
      <c r="E75" s="53"/>
      <c r="F75" s="53"/>
      <c r="G75" s="174"/>
      <c r="H75" s="49"/>
      <c r="I75" s="49"/>
      <c r="J75" s="49"/>
      <c r="K75" s="49"/>
      <c r="Y75" s="49"/>
      <c r="AK75" s="49"/>
      <c r="AP75" s="49"/>
      <c r="AQ75" s="49"/>
      <c r="AR75" s="49"/>
      <c r="AS75" s="49"/>
      <c r="AT75" s="49"/>
      <c r="DC75" s="49"/>
      <c r="FB75" s="48"/>
      <c r="FC75" s="176"/>
    </row>
    <row r="76" spans="1:159" x14ac:dyDescent="0.25">
      <c r="A76" s="117"/>
      <c r="B76" s="63"/>
      <c r="C76" s="53"/>
      <c r="D76" s="53"/>
      <c r="E76" s="53"/>
      <c r="F76" s="53"/>
      <c r="G76" s="174"/>
      <c r="H76" s="49"/>
      <c r="I76" s="49"/>
      <c r="J76" s="49"/>
      <c r="K76" s="49"/>
      <c r="Y76" s="49"/>
      <c r="AK76" s="49"/>
      <c r="AP76" s="49"/>
      <c r="AQ76" s="49"/>
      <c r="AR76" s="49"/>
      <c r="AS76" s="49"/>
      <c r="AT76" s="49"/>
      <c r="DC76" s="49"/>
      <c r="FB76" s="48"/>
      <c r="FC76" s="176"/>
    </row>
    <row r="77" spans="1:159" x14ac:dyDescent="0.25">
      <c r="A77" s="117"/>
      <c r="B77" s="63"/>
      <c r="C77" s="53"/>
      <c r="D77" s="53"/>
      <c r="E77" s="53"/>
      <c r="F77" s="53"/>
      <c r="G77" s="174"/>
      <c r="H77" s="49"/>
      <c r="I77" s="49"/>
      <c r="J77" s="49"/>
      <c r="K77" s="49"/>
      <c r="Y77" s="49"/>
      <c r="AK77" s="49"/>
      <c r="AP77" s="49"/>
      <c r="AQ77" s="49"/>
      <c r="AR77" s="49"/>
      <c r="AS77" s="49"/>
      <c r="AT77" s="49"/>
      <c r="DC77" s="49"/>
      <c r="FB77" s="48"/>
      <c r="FC77" s="176"/>
    </row>
    <row r="78" spans="1:159" x14ac:dyDescent="0.25">
      <c r="A78" s="117"/>
      <c r="B78" s="63"/>
      <c r="C78" s="53"/>
      <c r="D78" s="53"/>
      <c r="E78" s="53"/>
      <c r="F78" s="53"/>
      <c r="G78" s="174"/>
      <c r="H78" s="49"/>
      <c r="I78" s="49"/>
      <c r="J78" s="49"/>
      <c r="K78" s="49"/>
      <c r="Y78" s="49"/>
      <c r="AK78" s="49"/>
      <c r="AP78" s="49"/>
      <c r="AQ78" s="49"/>
      <c r="AR78" s="49"/>
      <c r="AS78" s="49"/>
      <c r="AT78" s="49"/>
      <c r="DC78" s="49"/>
      <c r="FB78" s="48"/>
      <c r="FC78" s="176"/>
    </row>
    <row r="79" spans="1:159" x14ac:dyDescent="0.25">
      <c r="A79" s="117"/>
      <c r="B79" s="63"/>
      <c r="C79" s="53"/>
      <c r="D79" s="53"/>
      <c r="E79" s="53"/>
      <c r="F79" s="53"/>
      <c r="G79" s="174"/>
      <c r="H79" s="49"/>
      <c r="I79" s="49"/>
      <c r="J79" s="49"/>
      <c r="K79" s="49"/>
      <c r="Y79" s="49"/>
      <c r="AK79" s="49"/>
      <c r="AP79" s="49"/>
      <c r="AQ79" s="49"/>
      <c r="AR79" s="49"/>
      <c r="AS79" s="49"/>
      <c r="AT79" s="49"/>
      <c r="DC79" s="49"/>
      <c r="FB79" s="48"/>
      <c r="FC79" s="176"/>
    </row>
    <row r="80" spans="1:159" x14ac:dyDescent="0.25">
      <c r="A80" s="117"/>
      <c r="B80" s="63"/>
      <c r="C80" s="53"/>
      <c r="D80" s="53"/>
      <c r="E80" s="53"/>
      <c r="F80" s="53"/>
      <c r="G80" s="174"/>
      <c r="H80" s="49"/>
      <c r="I80" s="49"/>
      <c r="J80" s="49"/>
      <c r="K80" s="49"/>
      <c r="Y80" s="49"/>
      <c r="AK80" s="49"/>
      <c r="AP80" s="49"/>
      <c r="AQ80" s="49"/>
      <c r="AR80" s="49"/>
      <c r="AS80" s="49"/>
      <c r="AT80" s="49"/>
      <c r="DC80" s="49"/>
      <c r="FB80" s="48"/>
      <c r="FC80" s="176"/>
    </row>
    <row r="81" spans="1:159" x14ac:dyDescent="0.25">
      <c r="A81" s="117"/>
      <c r="B81" s="63"/>
      <c r="C81" s="53"/>
      <c r="D81" s="53"/>
      <c r="E81" s="53"/>
      <c r="F81" s="53"/>
      <c r="G81" s="174"/>
      <c r="H81" s="49"/>
      <c r="I81" s="49"/>
      <c r="J81" s="49"/>
      <c r="K81" s="49"/>
      <c r="Y81" s="49"/>
      <c r="AK81" s="49"/>
      <c r="AP81" s="49"/>
      <c r="AQ81" s="49"/>
      <c r="AR81" s="49"/>
      <c r="AS81" s="49"/>
      <c r="AT81" s="49"/>
      <c r="DC81" s="49"/>
      <c r="FB81" s="48"/>
      <c r="FC81" s="176"/>
    </row>
    <row r="82" spans="1:159" x14ac:dyDescent="0.25">
      <c r="A82" s="117"/>
      <c r="B82" s="63"/>
      <c r="C82" s="53"/>
      <c r="D82" s="53"/>
      <c r="E82" s="53"/>
      <c r="F82" s="53"/>
      <c r="G82" s="174"/>
      <c r="H82" s="49"/>
      <c r="I82" s="49"/>
      <c r="J82" s="49"/>
      <c r="K82" s="49"/>
      <c r="Y82" s="49"/>
      <c r="AK82" s="49"/>
      <c r="AP82" s="49"/>
      <c r="AQ82" s="49"/>
      <c r="AR82" s="49"/>
      <c r="AS82" s="49"/>
      <c r="AT82" s="49"/>
      <c r="DC82" s="49"/>
      <c r="FB82" s="48"/>
      <c r="FC82" s="176"/>
    </row>
    <row r="83" spans="1:159" x14ac:dyDescent="0.25">
      <c r="A83" s="117"/>
      <c r="B83" s="63"/>
      <c r="C83" s="53"/>
      <c r="D83" s="53"/>
      <c r="E83" s="53"/>
      <c r="F83" s="53"/>
      <c r="G83" s="174"/>
      <c r="H83" s="49"/>
      <c r="I83" s="49"/>
      <c r="J83" s="49"/>
      <c r="K83" s="49"/>
      <c r="Y83" s="49"/>
      <c r="AK83" s="49"/>
      <c r="AP83" s="49"/>
      <c r="AQ83" s="49"/>
      <c r="AR83" s="49"/>
      <c r="AS83" s="49"/>
      <c r="AT83" s="49"/>
      <c r="DC83" s="49"/>
      <c r="FB83" s="48"/>
      <c r="FC83" s="176"/>
    </row>
    <row r="84" spans="1:159" x14ac:dyDescent="0.25">
      <c r="A84" s="117"/>
      <c r="B84" s="63"/>
      <c r="C84" s="53"/>
      <c r="D84" s="53"/>
      <c r="E84" s="53"/>
      <c r="F84" s="53"/>
      <c r="G84" s="174"/>
      <c r="H84" s="49"/>
      <c r="I84" s="49"/>
      <c r="J84" s="49"/>
      <c r="K84" s="49"/>
      <c r="Y84" s="49"/>
      <c r="AK84" s="49"/>
      <c r="AP84" s="49"/>
      <c r="AQ84" s="49"/>
      <c r="AR84" s="49"/>
      <c r="AS84" s="49"/>
      <c r="AT84" s="49"/>
      <c r="DC84" s="49"/>
      <c r="FB84" s="48"/>
      <c r="FC84" s="176"/>
    </row>
    <row r="85" spans="1:159" x14ac:dyDescent="0.25">
      <c r="A85" s="117"/>
      <c r="B85" s="63"/>
      <c r="C85" s="53"/>
      <c r="D85" s="53"/>
      <c r="E85" s="53"/>
      <c r="F85" s="53"/>
      <c r="G85" s="174"/>
      <c r="H85" s="49"/>
      <c r="I85" s="49"/>
      <c r="J85" s="49"/>
      <c r="K85" s="49"/>
      <c r="Y85" s="49"/>
      <c r="AK85" s="49"/>
      <c r="AP85" s="49"/>
      <c r="AQ85" s="49"/>
      <c r="AR85" s="49"/>
      <c r="AS85" s="49"/>
      <c r="AT85" s="49"/>
      <c r="DC85" s="49"/>
      <c r="FB85" s="48"/>
      <c r="FC85" s="176"/>
    </row>
    <row r="86" spans="1:159" x14ac:dyDescent="0.25">
      <c r="A86" s="117"/>
      <c r="B86" s="63"/>
      <c r="C86" s="53"/>
      <c r="D86" s="53"/>
      <c r="E86" s="53"/>
      <c r="F86" s="53"/>
      <c r="G86" s="174"/>
      <c r="H86" s="49"/>
      <c r="I86" s="49"/>
      <c r="J86" s="49"/>
      <c r="K86" s="49"/>
      <c r="Y86" s="49"/>
      <c r="AK86" s="49"/>
      <c r="AP86" s="49"/>
      <c r="AQ86" s="49"/>
      <c r="AR86" s="49"/>
      <c r="AS86" s="49"/>
      <c r="AT86" s="49"/>
      <c r="DC86" s="49"/>
      <c r="FB86" s="48"/>
      <c r="FC86" s="176"/>
    </row>
    <row r="87" spans="1:159" x14ac:dyDescent="0.25">
      <c r="A87" s="117"/>
      <c r="B87" s="63"/>
      <c r="C87" s="53"/>
      <c r="D87" s="53"/>
      <c r="E87" s="53"/>
      <c r="F87" s="53"/>
      <c r="G87" s="174"/>
      <c r="H87" s="49"/>
      <c r="I87" s="49"/>
      <c r="J87" s="49"/>
      <c r="K87" s="49"/>
      <c r="Y87" s="49"/>
      <c r="AK87" s="49"/>
      <c r="AP87" s="49"/>
      <c r="AQ87" s="49"/>
      <c r="AR87" s="49"/>
      <c r="AS87" s="49"/>
      <c r="AT87" s="49"/>
      <c r="DC87" s="49"/>
      <c r="FB87" s="48"/>
      <c r="FC87" s="176"/>
    </row>
    <row r="88" spans="1:159" x14ac:dyDescent="0.25">
      <c r="A88" s="117"/>
      <c r="B88" s="63"/>
      <c r="C88" s="53"/>
      <c r="D88" s="53"/>
      <c r="E88" s="53"/>
      <c r="F88" s="53"/>
      <c r="G88" s="174"/>
      <c r="H88" s="49"/>
      <c r="I88" s="49"/>
      <c r="J88" s="49"/>
      <c r="K88" s="49"/>
      <c r="Y88" s="49"/>
      <c r="AK88" s="49"/>
      <c r="AP88" s="49"/>
      <c r="AQ88" s="49"/>
      <c r="AR88" s="49"/>
      <c r="AS88" s="49"/>
      <c r="AT88" s="49"/>
      <c r="DC88" s="49"/>
      <c r="FB88" s="48"/>
      <c r="FC88" s="176"/>
    </row>
    <row r="89" spans="1:159" x14ac:dyDescent="0.25">
      <c r="A89" s="117"/>
      <c r="B89" s="63"/>
      <c r="C89" s="53"/>
      <c r="D89" s="53"/>
      <c r="E89" s="53"/>
      <c r="F89" s="53"/>
      <c r="G89" s="174"/>
      <c r="H89" s="49"/>
      <c r="I89" s="49"/>
      <c r="J89" s="49"/>
      <c r="K89" s="49"/>
      <c r="Y89" s="49"/>
      <c r="AK89" s="49"/>
      <c r="AP89" s="49"/>
      <c r="AQ89" s="49"/>
      <c r="AR89" s="49"/>
      <c r="AS89" s="49"/>
      <c r="AT89" s="49"/>
      <c r="DC89" s="49"/>
      <c r="FB89" s="48"/>
      <c r="FC89" s="176"/>
    </row>
    <row r="90" spans="1:159" x14ac:dyDescent="0.25">
      <c r="A90" s="117"/>
      <c r="B90" s="63"/>
      <c r="C90" s="53"/>
      <c r="D90" s="53"/>
      <c r="E90" s="53"/>
      <c r="F90" s="53"/>
      <c r="G90" s="174"/>
      <c r="H90" s="49"/>
      <c r="I90" s="49"/>
      <c r="J90" s="49"/>
      <c r="K90" s="49"/>
      <c r="Y90" s="49"/>
      <c r="AK90" s="49"/>
      <c r="AP90" s="49"/>
      <c r="AQ90" s="49"/>
      <c r="AR90" s="49"/>
      <c r="AS90" s="49"/>
      <c r="AT90" s="49"/>
      <c r="DC90" s="49"/>
      <c r="FB90" s="48"/>
      <c r="FC90" s="176"/>
    </row>
    <row r="91" spans="1:159" x14ac:dyDescent="0.25">
      <c r="A91" s="117"/>
      <c r="B91" s="63"/>
      <c r="C91" s="53"/>
      <c r="D91" s="53"/>
      <c r="E91" s="53"/>
      <c r="F91" s="53"/>
      <c r="G91" s="174"/>
      <c r="H91" s="49"/>
      <c r="I91" s="49"/>
      <c r="J91" s="49"/>
      <c r="K91" s="49"/>
      <c r="Y91" s="49"/>
      <c r="AK91" s="49"/>
      <c r="AP91" s="49"/>
      <c r="AQ91" s="49"/>
      <c r="AR91" s="49"/>
      <c r="AS91" s="49"/>
      <c r="AT91" s="49"/>
      <c r="DC91" s="49"/>
      <c r="FB91" s="48"/>
      <c r="FC91" s="176"/>
    </row>
    <row r="92" spans="1:159" x14ac:dyDescent="0.25">
      <c r="A92" s="117"/>
      <c r="B92" s="63"/>
      <c r="C92" s="53"/>
      <c r="D92" s="53"/>
      <c r="E92" s="53"/>
      <c r="F92" s="53"/>
      <c r="G92" s="174"/>
      <c r="H92" s="49"/>
      <c r="I92" s="49"/>
      <c r="J92" s="49"/>
      <c r="K92" s="49"/>
      <c r="Y92" s="49"/>
      <c r="AK92" s="49"/>
      <c r="AP92" s="49"/>
      <c r="AQ92" s="49"/>
      <c r="AR92" s="49"/>
      <c r="AS92" s="49"/>
      <c r="AT92" s="49"/>
      <c r="DC92" s="49"/>
      <c r="FB92" s="48"/>
      <c r="FC92" s="176"/>
    </row>
    <row r="93" spans="1:159" x14ac:dyDescent="0.25">
      <c r="A93" s="117"/>
      <c r="B93" s="63"/>
      <c r="C93" s="53"/>
      <c r="D93" s="53"/>
      <c r="E93" s="53"/>
      <c r="F93" s="53"/>
      <c r="G93" s="174"/>
      <c r="H93" s="49"/>
      <c r="I93" s="49"/>
      <c r="J93" s="49"/>
      <c r="K93" s="49"/>
      <c r="Y93" s="49"/>
      <c r="AK93" s="49"/>
      <c r="AP93" s="49"/>
      <c r="AQ93" s="49"/>
      <c r="AR93" s="49"/>
      <c r="AS93" s="49"/>
      <c r="AT93" s="49"/>
      <c r="DC93" s="49"/>
      <c r="FB93" s="48"/>
      <c r="FC93" s="176"/>
    </row>
    <row r="94" spans="1:159" x14ac:dyDescent="0.25">
      <c r="A94" s="117"/>
      <c r="B94" s="63"/>
      <c r="C94" s="53"/>
      <c r="D94" s="53"/>
      <c r="E94" s="53"/>
      <c r="F94" s="53"/>
      <c r="G94" s="174"/>
      <c r="H94" s="49"/>
      <c r="I94" s="49"/>
      <c r="J94" s="49"/>
      <c r="K94" s="49"/>
      <c r="Y94" s="49"/>
      <c r="AK94" s="49"/>
      <c r="AP94" s="49"/>
      <c r="AQ94" s="49"/>
      <c r="AR94" s="49"/>
      <c r="AS94" s="49"/>
      <c r="AT94" s="49"/>
      <c r="DC94" s="49"/>
      <c r="FB94" s="48"/>
      <c r="FC94" s="176"/>
    </row>
    <row r="95" spans="1:159" x14ac:dyDescent="0.25">
      <c r="A95" s="117"/>
      <c r="B95" s="63"/>
      <c r="C95" s="53"/>
      <c r="D95" s="53"/>
      <c r="E95" s="53"/>
      <c r="F95" s="53"/>
      <c r="G95" s="174"/>
      <c r="H95" s="49"/>
      <c r="I95" s="49"/>
      <c r="J95" s="49"/>
      <c r="K95" s="49"/>
      <c r="Y95" s="49"/>
      <c r="AK95" s="49"/>
      <c r="AP95" s="49"/>
      <c r="AQ95" s="49"/>
      <c r="AR95" s="49"/>
      <c r="AS95" s="49"/>
      <c r="AT95" s="49"/>
      <c r="DC95" s="49"/>
      <c r="FB95" s="48"/>
      <c r="FC95" s="176"/>
    </row>
    <row r="96" spans="1:159" x14ac:dyDescent="0.25">
      <c r="A96" s="117"/>
      <c r="B96" s="63"/>
      <c r="C96" s="53"/>
      <c r="D96" s="53"/>
      <c r="E96" s="53"/>
      <c r="F96" s="53"/>
      <c r="G96" s="174"/>
      <c r="H96" s="49"/>
      <c r="I96" s="49"/>
      <c r="J96" s="49"/>
      <c r="K96" s="49"/>
      <c r="Y96" s="49"/>
      <c r="AK96" s="49"/>
      <c r="AP96" s="49"/>
      <c r="AQ96" s="49"/>
      <c r="AR96" s="49"/>
      <c r="AS96" s="49"/>
      <c r="AT96" s="49"/>
      <c r="DC96" s="49"/>
      <c r="FB96" s="48"/>
      <c r="FC96" s="176"/>
    </row>
    <row r="97" spans="1:159" x14ac:dyDescent="0.25">
      <c r="A97" s="117"/>
      <c r="B97" s="63"/>
      <c r="C97" s="53"/>
      <c r="D97" s="53"/>
      <c r="E97" s="53"/>
      <c r="F97" s="53"/>
      <c r="G97" s="174"/>
      <c r="H97" s="49"/>
      <c r="I97" s="49"/>
      <c r="J97" s="49"/>
      <c r="K97" s="49"/>
      <c r="Y97" s="49"/>
      <c r="AK97" s="49"/>
      <c r="AP97" s="49"/>
      <c r="AQ97" s="49"/>
      <c r="AR97" s="49"/>
      <c r="AS97" s="49"/>
      <c r="AT97" s="49"/>
      <c r="DC97" s="49"/>
      <c r="FB97" s="48"/>
      <c r="FC97" s="176"/>
    </row>
    <row r="98" spans="1:159" x14ac:dyDescent="0.25">
      <c r="A98" s="117"/>
      <c r="B98" s="63"/>
      <c r="C98" s="53"/>
      <c r="D98" s="53"/>
      <c r="E98" s="53"/>
      <c r="F98" s="53"/>
      <c r="G98" s="174"/>
      <c r="H98" s="49"/>
      <c r="I98" s="49"/>
      <c r="J98" s="49"/>
      <c r="K98" s="49"/>
      <c r="Y98" s="49"/>
      <c r="AK98" s="49"/>
      <c r="AP98" s="49"/>
      <c r="AQ98" s="49"/>
      <c r="AR98" s="49"/>
      <c r="AS98" s="49"/>
      <c r="AT98" s="49"/>
      <c r="DC98" s="49"/>
      <c r="FB98" s="48"/>
      <c r="FC98" s="176"/>
    </row>
    <row r="99" spans="1:159" x14ac:dyDescent="0.25">
      <c r="A99" s="117"/>
      <c r="B99" s="63"/>
      <c r="C99" s="53"/>
      <c r="D99" s="53"/>
      <c r="E99" s="53"/>
      <c r="F99" s="53"/>
      <c r="G99" s="174"/>
      <c r="H99" s="49"/>
      <c r="I99" s="49"/>
      <c r="J99" s="49"/>
      <c r="K99" s="49"/>
      <c r="Y99" s="49"/>
      <c r="AK99" s="49"/>
      <c r="AP99" s="49"/>
      <c r="AQ99" s="49"/>
      <c r="AR99" s="49"/>
      <c r="AS99" s="49"/>
      <c r="AT99" s="49"/>
      <c r="DC99" s="49"/>
      <c r="FB99" s="48"/>
      <c r="FC99" s="176"/>
    </row>
    <row r="100" spans="1:159" x14ac:dyDescent="0.25">
      <c r="A100" s="117"/>
      <c r="B100" s="63"/>
      <c r="C100" s="53"/>
      <c r="D100" s="53"/>
      <c r="E100" s="53"/>
      <c r="F100" s="53"/>
      <c r="G100" s="174"/>
      <c r="H100" s="49"/>
      <c r="I100" s="49"/>
      <c r="J100" s="49"/>
      <c r="K100" s="49"/>
      <c r="Y100" s="49"/>
      <c r="AK100" s="49"/>
      <c r="AP100" s="49"/>
      <c r="AQ100" s="49"/>
      <c r="AR100" s="49"/>
      <c r="AS100" s="49"/>
      <c r="AT100" s="49"/>
      <c r="DC100" s="49"/>
      <c r="FB100" s="48"/>
      <c r="FC100" s="176"/>
    </row>
    <row r="101" spans="1:159" x14ac:dyDescent="0.25">
      <c r="A101" s="117"/>
      <c r="B101" s="63"/>
      <c r="C101" s="53"/>
      <c r="D101" s="53"/>
      <c r="E101" s="53"/>
      <c r="F101" s="53"/>
      <c r="G101" s="174"/>
      <c r="H101" s="49"/>
      <c r="I101" s="49"/>
      <c r="J101" s="49"/>
      <c r="K101" s="49"/>
      <c r="Y101" s="49"/>
      <c r="AK101" s="49"/>
      <c r="AP101" s="49"/>
      <c r="AQ101" s="49"/>
      <c r="AR101" s="49"/>
      <c r="AS101" s="49"/>
      <c r="AT101" s="49"/>
      <c r="DC101" s="49"/>
      <c r="FB101" s="48"/>
      <c r="FC101" s="176"/>
    </row>
    <row r="102" spans="1:159" x14ac:dyDescent="0.25">
      <c r="A102" s="117"/>
      <c r="B102" s="63"/>
      <c r="C102" s="53"/>
      <c r="D102" s="53"/>
      <c r="E102" s="53"/>
      <c r="F102" s="53"/>
      <c r="G102" s="174"/>
      <c r="H102" s="49"/>
      <c r="I102" s="49"/>
      <c r="J102" s="49"/>
      <c r="K102" s="49"/>
      <c r="Y102" s="49"/>
      <c r="AK102" s="49"/>
      <c r="AP102" s="49"/>
      <c r="AQ102" s="49"/>
      <c r="AR102" s="49"/>
      <c r="AS102" s="49"/>
      <c r="AT102" s="49"/>
      <c r="DC102" s="49"/>
      <c r="FB102" s="48"/>
      <c r="FC102" s="176"/>
    </row>
    <row r="103" spans="1:159" x14ac:dyDescent="0.25">
      <c r="A103" s="117"/>
      <c r="B103" s="63"/>
      <c r="C103" s="53"/>
      <c r="D103" s="53"/>
      <c r="E103" s="53"/>
      <c r="F103" s="53"/>
      <c r="G103" s="174"/>
      <c r="H103" s="49"/>
      <c r="I103" s="49"/>
      <c r="J103" s="49"/>
      <c r="K103" s="49"/>
      <c r="Y103" s="49"/>
      <c r="AK103" s="49"/>
      <c r="AP103" s="49"/>
      <c r="AQ103" s="49"/>
      <c r="AR103" s="49"/>
      <c r="AS103" s="49"/>
      <c r="AT103" s="49"/>
      <c r="DC103" s="49"/>
      <c r="FB103" s="48"/>
      <c r="FC103" s="176"/>
    </row>
    <row r="104" spans="1:159" x14ac:dyDescent="0.25">
      <c r="A104" s="117"/>
      <c r="B104" s="63"/>
      <c r="C104" s="53"/>
      <c r="D104" s="53"/>
      <c r="E104" s="53"/>
      <c r="F104" s="53"/>
      <c r="G104" s="174"/>
      <c r="H104" s="49"/>
      <c r="I104" s="49"/>
      <c r="J104" s="49"/>
      <c r="K104" s="49"/>
      <c r="Y104" s="49"/>
      <c r="AK104" s="49"/>
      <c r="AP104" s="49"/>
      <c r="AQ104" s="49"/>
      <c r="AR104" s="49"/>
      <c r="AS104" s="49"/>
      <c r="AT104" s="49"/>
      <c r="DC104" s="49"/>
      <c r="FB104" s="48"/>
      <c r="FC104" s="176"/>
    </row>
    <row r="105" spans="1:159" x14ac:dyDescent="0.25">
      <c r="A105" s="117"/>
      <c r="B105" s="63"/>
      <c r="C105" s="53"/>
      <c r="D105" s="53"/>
      <c r="E105" s="53"/>
      <c r="F105" s="53"/>
      <c r="G105" s="174"/>
      <c r="H105" s="49"/>
      <c r="I105" s="49"/>
      <c r="J105" s="49"/>
      <c r="K105" s="49"/>
      <c r="Y105" s="49"/>
      <c r="AK105" s="49"/>
      <c r="AP105" s="49"/>
      <c r="AQ105" s="49"/>
      <c r="AR105" s="49"/>
      <c r="AS105" s="49"/>
      <c r="AT105" s="49"/>
      <c r="DC105" s="49"/>
      <c r="FB105" s="48"/>
      <c r="FC105" s="176"/>
    </row>
    <row r="106" spans="1:159" x14ac:dyDescent="0.25">
      <c r="A106" s="117"/>
      <c r="B106" s="63"/>
      <c r="C106" s="53"/>
      <c r="D106" s="53"/>
      <c r="E106" s="53"/>
      <c r="F106" s="53"/>
      <c r="G106" s="174"/>
      <c r="H106" s="49"/>
      <c r="I106" s="49"/>
      <c r="J106" s="49"/>
      <c r="K106" s="49"/>
      <c r="Y106" s="49"/>
      <c r="AK106" s="49"/>
      <c r="AP106" s="49"/>
      <c r="AQ106" s="49"/>
      <c r="AR106" s="49"/>
      <c r="AS106" s="49"/>
      <c r="AT106" s="49"/>
      <c r="DC106" s="49"/>
      <c r="FB106" s="48"/>
      <c r="FC106" s="176"/>
    </row>
    <row r="107" spans="1:159" x14ac:dyDescent="0.25">
      <c r="A107" s="117"/>
      <c r="B107" s="63"/>
      <c r="C107" s="53"/>
      <c r="D107" s="53"/>
      <c r="E107" s="53"/>
      <c r="F107" s="53"/>
      <c r="G107" s="174"/>
      <c r="H107" s="49"/>
      <c r="I107" s="49"/>
      <c r="J107" s="49"/>
      <c r="K107" s="49"/>
      <c r="Y107" s="49"/>
      <c r="AK107" s="49"/>
      <c r="AP107" s="49"/>
      <c r="AQ107" s="49"/>
      <c r="AR107" s="49"/>
      <c r="AS107" s="49"/>
      <c r="AT107" s="49"/>
      <c r="DC107" s="49"/>
      <c r="FB107" s="48"/>
      <c r="FC107" s="176"/>
    </row>
    <row r="108" spans="1:159" x14ac:dyDescent="0.25">
      <c r="A108" s="117"/>
      <c r="B108" s="63"/>
      <c r="C108" s="53"/>
      <c r="D108" s="53"/>
      <c r="E108" s="53"/>
      <c r="F108" s="53"/>
      <c r="G108" s="174"/>
      <c r="H108" s="49"/>
      <c r="I108" s="49"/>
      <c r="J108" s="49"/>
      <c r="K108" s="49"/>
      <c r="Y108" s="49"/>
      <c r="AK108" s="49"/>
      <c r="AP108" s="49"/>
      <c r="AQ108" s="49"/>
      <c r="AR108" s="49"/>
      <c r="AS108" s="49"/>
      <c r="AT108" s="49"/>
      <c r="DC108" s="49"/>
      <c r="FB108" s="48"/>
      <c r="FC108" s="176"/>
    </row>
    <row r="109" spans="1:159" x14ac:dyDescent="0.25">
      <c r="A109" s="117"/>
      <c r="B109" s="63"/>
      <c r="C109" s="53"/>
      <c r="D109" s="53"/>
      <c r="E109" s="53"/>
      <c r="F109" s="53"/>
      <c r="G109" s="174"/>
      <c r="H109" s="49"/>
      <c r="I109" s="49"/>
      <c r="J109" s="49"/>
      <c r="K109" s="49"/>
      <c r="Y109" s="49"/>
      <c r="AK109" s="49"/>
      <c r="AP109" s="49"/>
      <c r="AQ109" s="49"/>
      <c r="AR109" s="49"/>
      <c r="AS109" s="49"/>
      <c r="AT109" s="49"/>
      <c r="DC109" s="49"/>
      <c r="FB109" s="48"/>
      <c r="FC109" s="176"/>
    </row>
    <row r="110" spans="1:159" x14ac:dyDescent="0.25">
      <c r="A110" s="117"/>
      <c r="B110" s="63"/>
      <c r="C110" s="53"/>
      <c r="D110" s="53"/>
      <c r="E110" s="53"/>
      <c r="F110" s="53"/>
      <c r="G110" s="174"/>
      <c r="H110" s="49"/>
      <c r="I110" s="49"/>
      <c r="J110" s="49"/>
      <c r="K110" s="49"/>
      <c r="Y110" s="49"/>
      <c r="AK110" s="49"/>
      <c r="AP110" s="49"/>
      <c r="AQ110" s="49"/>
      <c r="AR110" s="49"/>
      <c r="AS110" s="49"/>
      <c r="AT110" s="49"/>
      <c r="DC110" s="49"/>
      <c r="FB110" s="48"/>
      <c r="FC110" s="176"/>
    </row>
    <row r="111" spans="1:159" x14ac:dyDescent="0.25">
      <c r="A111" s="117"/>
      <c r="B111" s="63"/>
      <c r="C111" s="53"/>
      <c r="D111" s="53"/>
      <c r="E111" s="53"/>
      <c r="F111" s="53"/>
      <c r="G111" s="174"/>
      <c r="H111" s="49"/>
      <c r="I111" s="49"/>
      <c r="J111" s="49"/>
      <c r="K111" s="49"/>
      <c r="Y111" s="49"/>
      <c r="AK111" s="49"/>
      <c r="AP111" s="49"/>
      <c r="AQ111" s="49"/>
      <c r="AR111" s="49"/>
      <c r="AS111" s="49"/>
      <c r="AT111" s="49"/>
      <c r="DC111" s="49"/>
      <c r="FB111" s="48"/>
      <c r="FC111" s="176"/>
    </row>
    <row r="112" spans="1:159" x14ac:dyDescent="0.25">
      <c r="A112" s="117"/>
      <c r="B112" s="63"/>
      <c r="C112" s="53"/>
      <c r="D112" s="53"/>
      <c r="E112" s="53"/>
      <c r="F112" s="53"/>
      <c r="G112" s="174"/>
      <c r="H112" s="49"/>
      <c r="I112" s="49"/>
      <c r="J112" s="49"/>
      <c r="K112" s="49"/>
      <c r="Y112" s="49"/>
      <c r="AK112" s="49"/>
      <c r="AP112" s="49"/>
      <c r="AQ112" s="49"/>
      <c r="AR112" s="49"/>
      <c r="AS112" s="49"/>
      <c r="AT112" s="49"/>
      <c r="DC112" s="49"/>
      <c r="FB112" s="48"/>
      <c r="FC112" s="176"/>
    </row>
    <row r="113" spans="1:159" x14ac:dyDescent="0.25">
      <c r="A113" s="117"/>
      <c r="B113" s="63"/>
      <c r="C113" s="53"/>
      <c r="D113" s="53"/>
      <c r="E113" s="53"/>
      <c r="F113" s="53"/>
      <c r="G113" s="174"/>
      <c r="H113" s="49"/>
      <c r="I113" s="49"/>
      <c r="J113" s="49"/>
      <c r="K113" s="49"/>
      <c r="Y113" s="49"/>
      <c r="AK113" s="49"/>
      <c r="AP113" s="49"/>
      <c r="AQ113" s="49"/>
      <c r="AR113" s="49"/>
      <c r="AS113" s="49"/>
      <c r="AT113" s="49"/>
      <c r="DC113" s="49"/>
      <c r="FB113" s="48"/>
      <c r="FC113" s="176"/>
    </row>
    <row r="114" spans="1:159" x14ac:dyDescent="0.25">
      <c r="A114" s="117"/>
      <c r="B114" s="63"/>
      <c r="C114" s="53"/>
      <c r="D114" s="53"/>
      <c r="E114" s="53"/>
      <c r="F114" s="53"/>
      <c r="G114" s="174"/>
      <c r="H114" s="49"/>
      <c r="I114" s="49"/>
      <c r="J114" s="49"/>
      <c r="K114" s="49"/>
      <c r="Y114" s="49"/>
      <c r="AK114" s="49"/>
      <c r="AP114" s="49"/>
      <c r="AQ114" s="49"/>
      <c r="AR114" s="49"/>
      <c r="AS114" s="49"/>
      <c r="AT114" s="49"/>
      <c r="DC114" s="49"/>
      <c r="FB114" s="48"/>
      <c r="FC114" s="176"/>
    </row>
    <row r="115" spans="1:159" x14ac:dyDescent="0.25">
      <c r="A115" s="117"/>
      <c r="B115" s="63"/>
      <c r="C115" s="53"/>
      <c r="D115" s="53"/>
      <c r="E115" s="53"/>
      <c r="F115" s="53"/>
      <c r="G115" s="174"/>
      <c r="H115" s="49"/>
      <c r="I115" s="49"/>
      <c r="J115" s="49"/>
      <c r="K115" s="49"/>
      <c r="Y115" s="49"/>
      <c r="AK115" s="49"/>
      <c r="AP115" s="49"/>
      <c r="AQ115" s="49"/>
      <c r="AR115" s="49"/>
      <c r="AS115" s="49"/>
      <c r="AT115" s="49"/>
      <c r="DC115" s="49"/>
      <c r="FB115" s="48"/>
      <c r="FC115" s="176"/>
    </row>
    <row r="116" spans="1:159" x14ac:dyDescent="0.25">
      <c r="A116" s="117"/>
      <c r="B116" s="63"/>
      <c r="C116" s="53"/>
      <c r="D116" s="53"/>
      <c r="E116" s="53"/>
      <c r="F116" s="53"/>
      <c r="G116" s="174"/>
      <c r="H116" s="49"/>
      <c r="I116" s="49"/>
      <c r="J116" s="49"/>
      <c r="K116" s="49"/>
      <c r="Y116" s="49"/>
      <c r="AK116" s="49"/>
      <c r="AP116" s="49"/>
      <c r="AQ116" s="49"/>
      <c r="AR116" s="49"/>
      <c r="AS116" s="49"/>
      <c r="AT116" s="49"/>
      <c r="DC116" s="49"/>
      <c r="FB116" s="48"/>
      <c r="FC116" s="176"/>
    </row>
    <row r="117" spans="1:159" x14ac:dyDescent="0.25">
      <c r="A117" s="117"/>
      <c r="B117" s="63"/>
      <c r="C117" s="53"/>
      <c r="D117" s="53"/>
      <c r="E117" s="53"/>
      <c r="F117" s="53"/>
      <c r="G117" s="174"/>
      <c r="H117" s="49"/>
      <c r="I117" s="49"/>
      <c r="J117" s="49"/>
      <c r="K117" s="49"/>
      <c r="Y117" s="49"/>
      <c r="AK117" s="49"/>
      <c r="AP117" s="49"/>
      <c r="AQ117" s="49"/>
      <c r="AR117" s="49"/>
      <c r="AS117" s="49"/>
      <c r="AT117" s="49"/>
      <c r="DC117" s="49"/>
      <c r="FB117" s="48"/>
      <c r="FC117" s="176"/>
    </row>
    <row r="118" spans="1:159" x14ac:dyDescent="0.25">
      <c r="A118" s="117"/>
      <c r="B118" s="63"/>
      <c r="C118" s="53"/>
      <c r="D118" s="53"/>
      <c r="E118" s="53"/>
      <c r="F118" s="53"/>
      <c r="G118" s="174"/>
      <c r="H118" s="49"/>
      <c r="I118" s="49"/>
      <c r="J118" s="49"/>
      <c r="K118" s="49"/>
      <c r="Y118" s="49"/>
      <c r="AK118" s="49"/>
      <c r="AP118" s="49"/>
      <c r="AQ118" s="49"/>
      <c r="AR118" s="49"/>
      <c r="AS118" s="49"/>
      <c r="AT118" s="49"/>
      <c r="DC118" s="49"/>
      <c r="FB118" s="48"/>
      <c r="FC118" s="176"/>
    </row>
    <row r="119" spans="1:159" x14ac:dyDescent="0.25">
      <c r="A119" s="117"/>
      <c r="B119" s="63"/>
      <c r="C119" s="53"/>
      <c r="D119" s="53"/>
      <c r="E119" s="53"/>
      <c r="F119" s="53"/>
      <c r="G119" s="174"/>
      <c r="H119" s="49"/>
      <c r="I119" s="49"/>
      <c r="J119" s="49"/>
      <c r="K119" s="49"/>
      <c r="Y119" s="49"/>
      <c r="AK119" s="49"/>
      <c r="AP119" s="49"/>
      <c r="AQ119" s="49"/>
      <c r="AR119" s="49"/>
      <c r="AS119" s="49"/>
      <c r="AT119" s="49"/>
      <c r="DC119" s="49"/>
      <c r="FB119" s="48"/>
      <c r="FC119" s="176"/>
    </row>
    <row r="120" spans="1:159" x14ac:dyDescent="0.25">
      <c r="A120" s="117"/>
      <c r="B120" s="63"/>
      <c r="C120" s="53"/>
      <c r="D120" s="53"/>
      <c r="E120" s="53"/>
      <c r="F120" s="53"/>
      <c r="G120" s="174"/>
      <c r="H120" s="49"/>
      <c r="I120" s="49"/>
      <c r="J120" s="49"/>
      <c r="K120" s="49"/>
      <c r="Y120" s="49"/>
      <c r="AK120" s="49"/>
      <c r="AP120" s="49"/>
      <c r="AQ120" s="49"/>
      <c r="AR120" s="49"/>
      <c r="AS120" s="49"/>
      <c r="AT120" s="49"/>
      <c r="DC120" s="49"/>
      <c r="FB120" s="48"/>
      <c r="FC120" s="176"/>
    </row>
    <row r="121" spans="1:159" x14ac:dyDescent="0.25">
      <c r="A121" s="117"/>
      <c r="B121" s="63"/>
      <c r="C121" s="53"/>
      <c r="D121" s="53"/>
      <c r="E121" s="53"/>
      <c r="F121" s="53"/>
      <c r="G121" s="174"/>
      <c r="H121" s="49"/>
      <c r="I121" s="49"/>
      <c r="J121" s="49"/>
      <c r="K121" s="49"/>
      <c r="Y121" s="49"/>
      <c r="AK121" s="49"/>
      <c r="AP121" s="49"/>
      <c r="AQ121" s="49"/>
      <c r="AR121" s="49"/>
      <c r="AS121" s="49"/>
      <c r="AT121" s="49"/>
      <c r="DC121" s="49"/>
      <c r="FB121" s="48"/>
      <c r="FC121" s="176"/>
    </row>
    <row r="122" spans="1:159" x14ac:dyDescent="0.25">
      <c r="A122" s="117"/>
      <c r="B122" s="63"/>
      <c r="C122" s="53"/>
      <c r="D122" s="53"/>
      <c r="E122" s="53"/>
      <c r="F122" s="53"/>
      <c r="G122" s="174"/>
      <c r="H122" s="49"/>
      <c r="I122" s="49"/>
      <c r="J122" s="49"/>
      <c r="K122" s="49"/>
      <c r="Y122" s="49"/>
      <c r="AK122" s="49"/>
      <c r="AP122" s="49"/>
      <c r="AQ122" s="49"/>
      <c r="AR122" s="49"/>
      <c r="AS122" s="49"/>
      <c r="AT122" s="49"/>
      <c r="DC122" s="49"/>
      <c r="FB122" s="48"/>
      <c r="FC122" s="176"/>
    </row>
    <row r="123" spans="1:159" x14ac:dyDescent="0.25">
      <c r="A123" s="117"/>
      <c r="B123" s="63"/>
      <c r="C123" s="53"/>
      <c r="D123" s="53"/>
      <c r="E123" s="53"/>
      <c r="F123" s="53"/>
      <c r="G123" s="174"/>
      <c r="H123" s="49"/>
      <c r="I123" s="49"/>
      <c r="J123" s="49"/>
      <c r="K123" s="49"/>
      <c r="Y123" s="49"/>
      <c r="AK123" s="49"/>
      <c r="AP123" s="49"/>
      <c r="AQ123" s="49"/>
      <c r="AR123" s="49"/>
      <c r="AS123" s="49"/>
      <c r="AT123" s="49"/>
      <c r="DC123" s="49"/>
      <c r="FB123" s="48"/>
      <c r="FC123" s="176"/>
    </row>
    <row r="124" spans="1:159" x14ac:dyDescent="0.25">
      <c r="A124" s="117"/>
      <c r="B124" s="63"/>
      <c r="C124" s="53"/>
      <c r="D124" s="53"/>
      <c r="E124" s="53"/>
      <c r="F124" s="53"/>
      <c r="G124" s="174"/>
      <c r="H124" s="49"/>
      <c r="I124" s="49"/>
      <c r="J124" s="49"/>
      <c r="K124" s="49"/>
      <c r="Y124" s="49"/>
      <c r="AK124" s="49"/>
      <c r="AP124" s="49"/>
      <c r="AQ124" s="49"/>
      <c r="AR124" s="49"/>
      <c r="AS124" s="49"/>
      <c r="AT124" s="49"/>
      <c r="DC124" s="49"/>
      <c r="FB124" s="48"/>
      <c r="FC124" s="176"/>
    </row>
    <row r="125" spans="1:159" x14ac:dyDescent="0.25">
      <c r="A125" s="117"/>
      <c r="B125" s="63"/>
      <c r="C125" s="53"/>
      <c r="D125" s="53"/>
      <c r="E125" s="53"/>
      <c r="F125" s="53"/>
      <c r="G125" s="174"/>
      <c r="H125" s="49"/>
      <c r="I125" s="49"/>
      <c r="J125" s="49"/>
      <c r="K125" s="49"/>
      <c r="Y125" s="49"/>
      <c r="AK125" s="49"/>
      <c r="AP125" s="49"/>
      <c r="AQ125" s="49"/>
      <c r="AR125" s="49"/>
      <c r="AS125" s="49"/>
      <c r="AT125" s="49"/>
      <c r="DC125" s="49"/>
      <c r="FB125" s="48"/>
      <c r="FC125" s="176"/>
    </row>
    <row r="126" spans="1:159" x14ac:dyDescent="0.25">
      <c r="A126" s="117"/>
      <c r="B126" s="63"/>
      <c r="C126" s="53"/>
      <c r="D126" s="53"/>
      <c r="E126" s="53"/>
      <c r="F126" s="53"/>
      <c r="G126" s="174"/>
      <c r="H126" s="49"/>
      <c r="I126" s="49"/>
      <c r="J126" s="49"/>
      <c r="K126" s="49"/>
      <c r="Y126" s="49"/>
      <c r="AK126" s="49"/>
      <c r="AP126" s="49"/>
      <c r="AQ126" s="49"/>
      <c r="AR126" s="49"/>
      <c r="AS126" s="49"/>
      <c r="AT126" s="49"/>
      <c r="DC126" s="49"/>
      <c r="FB126" s="48"/>
      <c r="FC126" s="176"/>
    </row>
    <row r="127" spans="1:159" x14ac:dyDescent="0.25">
      <c r="A127" s="117"/>
      <c r="B127" s="63"/>
      <c r="C127" s="53"/>
      <c r="D127" s="53"/>
      <c r="E127" s="53"/>
      <c r="F127" s="53"/>
      <c r="G127" s="174"/>
      <c r="H127" s="49"/>
      <c r="I127" s="49"/>
      <c r="J127" s="49"/>
      <c r="K127" s="49"/>
      <c r="Y127" s="49"/>
      <c r="AK127" s="49"/>
      <c r="AP127" s="49"/>
      <c r="AQ127" s="49"/>
      <c r="AR127" s="49"/>
      <c r="AS127" s="49"/>
      <c r="AT127" s="49"/>
      <c r="DC127" s="49"/>
      <c r="FB127" s="48"/>
      <c r="FC127" s="176"/>
    </row>
    <row r="128" spans="1:159" x14ac:dyDescent="0.25">
      <c r="A128" s="117"/>
      <c r="B128" s="63"/>
      <c r="C128" s="53"/>
      <c r="D128" s="53"/>
      <c r="E128" s="53"/>
      <c r="F128" s="53"/>
      <c r="G128" s="174"/>
      <c r="H128" s="49"/>
      <c r="I128" s="49"/>
      <c r="J128" s="49"/>
      <c r="K128" s="49"/>
      <c r="Y128" s="49"/>
      <c r="AK128" s="49"/>
      <c r="AP128" s="49"/>
      <c r="AQ128" s="49"/>
      <c r="AR128" s="49"/>
      <c r="AS128" s="49"/>
      <c r="AT128" s="49"/>
      <c r="DC128" s="49"/>
      <c r="FB128" s="48"/>
      <c r="FC128" s="176"/>
    </row>
    <row r="129" spans="1:159" x14ac:dyDescent="0.25">
      <c r="A129" s="117"/>
      <c r="B129" s="63"/>
      <c r="C129" s="53"/>
      <c r="D129" s="53"/>
      <c r="E129" s="53"/>
      <c r="F129" s="53"/>
      <c r="G129" s="174"/>
      <c r="H129" s="49"/>
      <c r="I129" s="49"/>
      <c r="J129" s="49"/>
      <c r="K129" s="49"/>
      <c r="Y129" s="49"/>
      <c r="AK129" s="49"/>
      <c r="AP129" s="49"/>
      <c r="AQ129" s="49"/>
      <c r="AR129" s="49"/>
      <c r="AS129" s="49"/>
      <c r="AT129" s="49"/>
      <c r="DC129" s="49"/>
      <c r="FB129" s="48"/>
      <c r="FC129" s="176"/>
    </row>
    <row r="130" spans="1:159" x14ac:dyDescent="0.25">
      <c r="A130" s="117"/>
      <c r="B130" s="63"/>
      <c r="C130" s="53"/>
      <c r="D130" s="53"/>
      <c r="E130" s="53"/>
      <c r="F130" s="53"/>
      <c r="G130" s="174"/>
      <c r="H130" s="49"/>
      <c r="I130" s="49"/>
      <c r="J130" s="49"/>
      <c r="K130" s="49"/>
      <c r="Y130" s="49"/>
      <c r="AK130" s="49"/>
      <c r="AP130" s="49"/>
      <c r="AQ130" s="49"/>
      <c r="AR130" s="49"/>
      <c r="AS130" s="49"/>
      <c r="AT130" s="49"/>
      <c r="DC130" s="49"/>
      <c r="FB130" s="48"/>
      <c r="FC130" s="176"/>
    </row>
    <row r="131" spans="1:159" x14ac:dyDescent="0.25">
      <c r="A131" s="117"/>
      <c r="B131" s="63"/>
      <c r="C131" s="53"/>
      <c r="D131" s="53"/>
      <c r="E131" s="53"/>
      <c r="F131" s="53"/>
      <c r="G131" s="174"/>
      <c r="H131" s="49"/>
      <c r="I131" s="49"/>
      <c r="J131" s="49"/>
      <c r="K131" s="49"/>
      <c r="Y131" s="49"/>
      <c r="AK131" s="49"/>
      <c r="AP131" s="49"/>
      <c r="AQ131" s="49"/>
      <c r="AR131" s="49"/>
      <c r="AS131" s="49"/>
      <c r="AT131" s="49"/>
      <c r="DC131" s="49"/>
      <c r="FB131" s="48"/>
      <c r="FC131" s="176"/>
    </row>
    <row r="132" spans="1:159" x14ac:dyDescent="0.25">
      <c r="A132" s="117"/>
      <c r="B132" s="63"/>
      <c r="C132" s="53"/>
      <c r="D132" s="53"/>
      <c r="E132" s="53"/>
      <c r="F132" s="53"/>
      <c r="G132" s="174"/>
      <c r="H132" s="49"/>
      <c r="I132" s="49"/>
      <c r="J132" s="49"/>
      <c r="K132" s="49"/>
      <c r="Y132" s="49"/>
      <c r="AK132" s="49"/>
      <c r="AP132" s="49"/>
      <c r="AQ132" s="49"/>
      <c r="AR132" s="49"/>
      <c r="AS132" s="49"/>
      <c r="AT132" s="49"/>
      <c r="DC132" s="49"/>
      <c r="FB132" s="48"/>
      <c r="FC132" s="176"/>
    </row>
    <row r="133" spans="1:159" x14ac:dyDescent="0.25">
      <c r="A133" s="117"/>
      <c r="B133" s="63"/>
      <c r="C133" s="53"/>
      <c r="D133" s="53"/>
      <c r="E133" s="53"/>
      <c r="F133" s="53"/>
      <c r="G133" s="174"/>
      <c r="H133" s="49"/>
      <c r="I133" s="49"/>
      <c r="J133" s="49"/>
      <c r="K133" s="49"/>
      <c r="Y133" s="49"/>
      <c r="AK133" s="49"/>
      <c r="AP133" s="49"/>
      <c r="AQ133" s="49"/>
      <c r="AR133" s="49"/>
      <c r="AS133" s="49"/>
      <c r="AT133" s="49"/>
      <c r="DC133" s="49"/>
      <c r="FB133" s="48"/>
      <c r="FC133" s="176"/>
    </row>
    <row r="134" spans="1:159" x14ac:dyDescent="0.25">
      <c r="A134" s="117"/>
      <c r="B134" s="63"/>
      <c r="C134" s="53"/>
      <c r="D134" s="53"/>
      <c r="E134" s="53"/>
      <c r="F134" s="53"/>
      <c r="G134" s="174"/>
      <c r="H134" s="49"/>
      <c r="I134" s="49"/>
      <c r="J134" s="49"/>
      <c r="K134" s="49"/>
      <c r="Y134" s="49"/>
      <c r="AK134" s="49"/>
      <c r="AP134" s="49"/>
      <c r="AQ134" s="49"/>
      <c r="AR134" s="49"/>
      <c r="AS134" s="49"/>
      <c r="AT134" s="49"/>
      <c r="DC134" s="49"/>
      <c r="FB134" s="48"/>
      <c r="FC134" s="176"/>
    </row>
    <row r="135" spans="1:159" x14ac:dyDescent="0.25">
      <c r="A135" s="117"/>
      <c r="B135" s="63"/>
      <c r="C135" s="53"/>
      <c r="D135" s="53"/>
      <c r="E135" s="53"/>
      <c r="F135" s="53"/>
      <c r="G135" s="174"/>
      <c r="H135" s="49"/>
      <c r="I135" s="49"/>
      <c r="J135" s="49"/>
      <c r="K135" s="49"/>
      <c r="Y135" s="49"/>
      <c r="AK135" s="49"/>
      <c r="AP135" s="49"/>
      <c r="AQ135" s="49"/>
      <c r="AR135" s="49"/>
      <c r="AS135" s="49"/>
      <c r="AT135" s="49"/>
      <c r="DC135" s="49"/>
      <c r="FB135" s="48"/>
      <c r="FC135" s="176"/>
    </row>
    <row r="136" spans="1:159" x14ac:dyDescent="0.25">
      <c r="A136" s="117"/>
      <c r="B136" s="63"/>
      <c r="C136" s="53"/>
      <c r="D136" s="53"/>
      <c r="E136" s="53"/>
      <c r="F136" s="53"/>
      <c r="G136" s="174"/>
      <c r="H136" s="49"/>
      <c r="I136" s="49"/>
      <c r="J136" s="49"/>
      <c r="K136" s="49"/>
      <c r="Y136" s="49"/>
      <c r="AK136" s="49"/>
      <c r="AP136" s="49"/>
      <c r="AQ136" s="49"/>
      <c r="AR136" s="49"/>
      <c r="AS136" s="49"/>
      <c r="AT136" s="49"/>
      <c r="DC136" s="49"/>
      <c r="FB136" s="48"/>
      <c r="FC136" s="176"/>
    </row>
    <row r="137" spans="1:159" x14ac:dyDescent="0.25">
      <c r="A137" s="117"/>
      <c r="B137" s="63"/>
      <c r="C137" s="53"/>
      <c r="D137" s="53"/>
      <c r="E137" s="53"/>
      <c r="F137" s="53"/>
      <c r="G137" s="174"/>
      <c r="H137" s="49"/>
      <c r="I137" s="49"/>
      <c r="J137" s="49"/>
      <c r="K137" s="49"/>
      <c r="Y137" s="49"/>
      <c r="AK137" s="49"/>
      <c r="AP137" s="49"/>
      <c r="AQ137" s="49"/>
      <c r="AR137" s="49"/>
      <c r="AS137" s="49"/>
      <c r="AT137" s="49"/>
      <c r="DC137" s="49"/>
      <c r="FB137" s="48"/>
      <c r="FC137" s="176"/>
    </row>
    <row r="138" spans="1:159" x14ac:dyDescent="0.25">
      <c r="A138" s="117"/>
      <c r="B138" s="63"/>
      <c r="C138" s="53"/>
      <c r="D138" s="53"/>
      <c r="E138" s="53"/>
      <c r="F138" s="53"/>
      <c r="G138" s="174"/>
      <c r="H138" s="49"/>
      <c r="I138" s="49"/>
      <c r="J138" s="49"/>
      <c r="K138" s="49"/>
      <c r="Y138" s="49"/>
      <c r="AK138" s="49"/>
      <c r="AP138" s="49"/>
      <c r="AQ138" s="49"/>
      <c r="AR138" s="49"/>
      <c r="AS138" s="49"/>
      <c r="AT138" s="49"/>
      <c r="DC138" s="49"/>
      <c r="FB138" s="48"/>
      <c r="FC138" s="176"/>
    </row>
    <row r="139" spans="1:159" x14ac:dyDescent="0.25">
      <c r="A139" s="117"/>
      <c r="B139" s="63"/>
      <c r="C139" s="53"/>
      <c r="D139" s="53"/>
      <c r="E139" s="53"/>
      <c r="F139" s="53"/>
      <c r="G139" s="174"/>
      <c r="H139" s="49"/>
      <c r="I139" s="49"/>
      <c r="J139" s="49"/>
      <c r="K139" s="49"/>
      <c r="Y139" s="49"/>
      <c r="AK139" s="49"/>
      <c r="AP139" s="49"/>
      <c r="AQ139" s="49"/>
      <c r="AR139" s="49"/>
      <c r="AS139" s="49"/>
      <c r="AT139" s="49"/>
      <c r="DC139" s="49"/>
      <c r="FB139" s="48"/>
      <c r="FC139" s="176"/>
    </row>
    <row r="140" spans="1:159" x14ac:dyDescent="0.25">
      <c r="A140" s="117"/>
      <c r="B140" s="63"/>
      <c r="C140" s="53"/>
      <c r="D140" s="53"/>
      <c r="E140" s="53"/>
      <c r="F140" s="53"/>
      <c r="G140" s="174"/>
      <c r="H140" s="49"/>
      <c r="I140" s="49"/>
      <c r="J140" s="49"/>
      <c r="K140" s="49"/>
      <c r="Y140" s="49"/>
      <c r="AK140" s="49"/>
      <c r="AP140" s="49"/>
      <c r="AQ140" s="49"/>
      <c r="AR140" s="49"/>
      <c r="AS140" s="49"/>
      <c r="AT140" s="49"/>
      <c r="DC140" s="49"/>
      <c r="FB140" s="48"/>
      <c r="FC140" s="176"/>
    </row>
    <row r="141" spans="1:159" x14ac:dyDescent="0.25">
      <c r="A141" s="117"/>
      <c r="B141" s="63"/>
      <c r="C141" s="53"/>
      <c r="D141" s="53"/>
      <c r="E141" s="53"/>
      <c r="F141" s="53"/>
      <c r="G141" s="174"/>
      <c r="H141" s="49"/>
      <c r="I141" s="49"/>
      <c r="J141" s="49"/>
      <c r="K141" s="49"/>
      <c r="Y141" s="49"/>
      <c r="AK141" s="49"/>
      <c r="AP141" s="49"/>
      <c r="AQ141" s="49"/>
      <c r="AR141" s="49"/>
      <c r="AS141" s="49"/>
      <c r="AT141" s="49"/>
      <c r="DC141" s="49"/>
      <c r="FB141" s="48"/>
      <c r="FC141" s="176"/>
    </row>
    <row r="142" spans="1:159" x14ac:dyDescent="0.25">
      <c r="A142" s="117"/>
      <c r="B142" s="63"/>
      <c r="C142" s="53"/>
      <c r="D142" s="53"/>
      <c r="E142" s="53"/>
      <c r="F142" s="53"/>
      <c r="G142" s="174"/>
      <c r="H142" s="49"/>
      <c r="I142" s="49"/>
      <c r="J142" s="49"/>
      <c r="K142" s="49"/>
      <c r="Y142" s="49"/>
      <c r="AK142" s="49"/>
      <c r="AP142" s="49"/>
      <c r="AQ142" s="49"/>
      <c r="AR142" s="49"/>
      <c r="AS142" s="49"/>
      <c r="AT142" s="49"/>
      <c r="DC142" s="49"/>
      <c r="FB142" s="48"/>
      <c r="FC142" s="176"/>
    </row>
    <row r="143" spans="1:159" x14ac:dyDescent="0.25">
      <c r="A143" s="117"/>
      <c r="B143" s="63"/>
      <c r="C143" s="53"/>
      <c r="D143" s="53"/>
      <c r="E143" s="53"/>
      <c r="F143" s="53"/>
      <c r="G143" s="174"/>
      <c r="H143" s="49"/>
      <c r="I143" s="49"/>
      <c r="J143" s="49"/>
      <c r="K143" s="49"/>
      <c r="Y143" s="49"/>
      <c r="AK143" s="49"/>
      <c r="AP143" s="49"/>
      <c r="AQ143" s="49"/>
      <c r="AR143" s="49"/>
      <c r="AS143" s="49"/>
      <c r="AT143" s="49"/>
      <c r="DC143" s="49"/>
      <c r="FB143" s="48"/>
      <c r="FC143" s="176"/>
    </row>
    <row r="144" spans="1:159" x14ac:dyDescent="0.25">
      <c r="A144" s="117"/>
      <c r="B144" s="63"/>
      <c r="C144" s="53"/>
      <c r="D144" s="53"/>
      <c r="E144" s="53"/>
      <c r="F144" s="53"/>
      <c r="G144" s="174"/>
      <c r="H144" s="49"/>
      <c r="I144" s="49"/>
      <c r="J144" s="49"/>
      <c r="K144" s="49"/>
      <c r="Y144" s="49"/>
      <c r="AK144" s="49"/>
      <c r="AP144" s="49"/>
      <c r="AQ144" s="49"/>
      <c r="AR144" s="49"/>
      <c r="AS144" s="49"/>
      <c r="AT144" s="49"/>
      <c r="DC144" s="49"/>
      <c r="FB144" s="48"/>
      <c r="FC144" s="176"/>
    </row>
    <row r="145" spans="1:159" x14ac:dyDescent="0.25">
      <c r="A145" s="117"/>
      <c r="B145" s="63"/>
      <c r="C145" s="53"/>
      <c r="D145" s="53"/>
      <c r="E145" s="53"/>
      <c r="F145" s="53"/>
      <c r="G145" s="174"/>
      <c r="H145" s="49"/>
      <c r="I145" s="49"/>
      <c r="J145" s="49"/>
      <c r="K145" s="49"/>
      <c r="Y145" s="49"/>
      <c r="AK145" s="49"/>
      <c r="AP145" s="49"/>
      <c r="AQ145" s="49"/>
      <c r="AR145" s="49"/>
      <c r="AS145" s="49"/>
      <c r="AT145" s="49"/>
      <c r="DC145" s="49"/>
      <c r="FB145" s="48"/>
      <c r="FC145" s="176"/>
    </row>
    <row r="146" spans="1:159" x14ac:dyDescent="0.25">
      <c r="A146" s="117"/>
      <c r="B146" s="63"/>
      <c r="C146" s="53"/>
      <c r="D146" s="53"/>
      <c r="E146" s="53"/>
      <c r="F146" s="53"/>
      <c r="G146" s="174"/>
      <c r="H146" s="49"/>
      <c r="I146" s="49"/>
      <c r="J146" s="49"/>
      <c r="K146" s="49"/>
      <c r="Y146" s="49"/>
      <c r="AK146" s="49"/>
      <c r="AP146" s="49"/>
      <c r="AQ146" s="49"/>
      <c r="AR146" s="49"/>
      <c r="AS146" s="49"/>
      <c r="AT146" s="49"/>
      <c r="DC146" s="49"/>
      <c r="FB146" s="48"/>
      <c r="FC146" s="176"/>
    </row>
    <row r="147" spans="1:159" x14ac:dyDescent="0.25">
      <c r="A147" s="117"/>
      <c r="B147" s="63"/>
      <c r="C147" s="53"/>
      <c r="D147" s="53"/>
      <c r="E147" s="53"/>
      <c r="F147" s="53"/>
      <c r="G147" s="174"/>
      <c r="H147" s="49"/>
      <c r="I147" s="49"/>
      <c r="J147" s="49"/>
      <c r="K147" s="49"/>
      <c r="Y147" s="49"/>
      <c r="AK147" s="49"/>
      <c r="AP147" s="49"/>
      <c r="AQ147" s="49"/>
      <c r="AR147" s="49"/>
      <c r="AS147" s="49"/>
      <c r="AT147" s="49"/>
      <c r="DC147" s="49"/>
      <c r="FB147" s="48"/>
      <c r="FC147" s="176"/>
    </row>
    <row r="148" spans="1:159" x14ac:dyDescent="0.25">
      <c r="A148" s="117"/>
      <c r="B148" s="63"/>
      <c r="C148" s="53"/>
      <c r="D148" s="53"/>
      <c r="E148" s="53"/>
      <c r="F148" s="53"/>
      <c r="G148" s="174"/>
      <c r="H148" s="49"/>
      <c r="I148" s="49"/>
      <c r="J148" s="49"/>
      <c r="K148" s="49"/>
      <c r="Y148" s="49"/>
      <c r="AK148" s="49"/>
      <c r="AP148" s="49"/>
      <c r="AQ148" s="49"/>
      <c r="AR148" s="49"/>
      <c r="AS148" s="49"/>
      <c r="AT148" s="49"/>
      <c r="DC148" s="49"/>
      <c r="FB148" s="48"/>
      <c r="FC148" s="176"/>
    </row>
    <row r="149" spans="1:159" x14ac:dyDescent="0.25">
      <c r="A149" s="117"/>
      <c r="B149" s="63"/>
      <c r="C149" s="53"/>
      <c r="D149" s="53"/>
      <c r="E149" s="53"/>
      <c r="F149" s="53"/>
      <c r="G149" s="174"/>
      <c r="H149" s="49"/>
      <c r="I149" s="49"/>
      <c r="J149" s="49"/>
      <c r="K149" s="49"/>
      <c r="Y149" s="49"/>
      <c r="AK149" s="49"/>
      <c r="AP149" s="49"/>
      <c r="AQ149" s="49"/>
      <c r="AR149" s="49"/>
      <c r="AS149" s="49"/>
      <c r="AT149" s="49"/>
      <c r="DC149" s="49"/>
      <c r="FB149" s="48"/>
      <c r="FC149" s="176"/>
    </row>
    <row r="150" spans="1:159" x14ac:dyDescent="0.25">
      <c r="A150" s="117"/>
      <c r="B150" s="63"/>
      <c r="C150" s="53"/>
      <c r="D150" s="53"/>
      <c r="E150" s="53"/>
      <c r="F150" s="53"/>
      <c r="G150" s="174"/>
      <c r="H150" s="49"/>
      <c r="I150" s="49"/>
      <c r="J150" s="49"/>
      <c r="K150" s="49"/>
      <c r="Y150" s="49"/>
      <c r="AK150" s="49"/>
      <c r="AP150" s="49"/>
      <c r="AQ150" s="49"/>
      <c r="AR150" s="49"/>
      <c r="AS150" s="49"/>
      <c r="AT150" s="49"/>
      <c r="DC150" s="49"/>
      <c r="FB150" s="48"/>
      <c r="FC150" s="176"/>
    </row>
    <row r="151" spans="1:159" x14ac:dyDescent="0.25">
      <c r="A151" s="117"/>
      <c r="B151" s="63"/>
      <c r="C151" s="53"/>
      <c r="D151" s="53"/>
      <c r="E151" s="53"/>
      <c r="F151" s="53"/>
      <c r="G151" s="174"/>
      <c r="H151" s="49"/>
      <c r="I151" s="49"/>
      <c r="J151" s="49"/>
      <c r="K151" s="49"/>
      <c r="Y151" s="49"/>
      <c r="AK151" s="49"/>
      <c r="AP151" s="49"/>
      <c r="AQ151" s="49"/>
      <c r="AR151" s="49"/>
      <c r="AS151" s="49"/>
      <c r="AT151" s="49"/>
      <c r="DC151" s="49"/>
      <c r="FB151" s="48"/>
      <c r="FC151" s="176"/>
    </row>
    <row r="152" spans="1:159" x14ac:dyDescent="0.25">
      <c r="A152" s="117"/>
      <c r="B152" s="63"/>
      <c r="C152" s="53"/>
      <c r="D152" s="53"/>
      <c r="E152" s="53"/>
      <c r="F152" s="53"/>
      <c r="G152" s="174"/>
      <c r="H152" s="49"/>
      <c r="I152" s="49"/>
      <c r="J152" s="49"/>
      <c r="K152" s="49"/>
      <c r="Y152" s="49"/>
      <c r="AK152" s="49"/>
      <c r="AP152" s="49"/>
      <c r="AQ152" s="49"/>
      <c r="AR152" s="49"/>
      <c r="AS152" s="49"/>
      <c r="AT152" s="49"/>
      <c r="DC152" s="49"/>
      <c r="FB152" s="48"/>
      <c r="FC152" s="176"/>
    </row>
    <row r="153" spans="1:159" x14ac:dyDescent="0.25">
      <c r="A153" s="117"/>
      <c r="B153" s="63"/>
      <c r="C153" s="53"/>
      <c r="D153" s="53"/>
      <c r="E153" s="53"/>
      <c r="F153" s="53"/>
      <c r="G153" s="174"/>
      <c r="H153" s="49"/>
      <c r="I153" s="49"/>
      <c r="J153" s="49"/>
      <c r="K153" s="49"/>
      <c r="Y153" s="49"/>
      <c r="AK153" s="49"/>
      <c r="AP153" s="49"/>
      <c r="AQ153" s="49"/>
      <c r="AR153" s="49"/>
      <c r="AS153" s="49"/>
      <c r="AT153" s="49"/>
      <c r="DC153" s="49"/>
      <c r="FB153" s="48"/>
      <c r="FC153" s="176"/>
    </row>
    <row r="154" spans="1:159" x14ac:dyDescent="0.25">
      <c r="A154" s="117"/>
      <c r="B154" s="63"/>
      <c r="C154" s="53"/>
      <c r="D154" s="53"/>
      <c r="E154" s="53"/>
      <c r="F154" s="53"/>
      <c r="G154" s="174"/>
      <c r="H154" s="49"/>
      <c r="I154" s="49"/>
      <c r="J154" s="49"/>
      <c r="K154" s="49"/>
      <c r="Y154" s="49"/>
      <c r="AK154" s="49"/>
      <c r="AP154" s="49"/>
      <c r="AQ154" s="49"/>
      <c r="AR154" s="49"/>
      <c r="AS154" s="49"/>
      <c r="AT154" s="49"/>
      <c r="DC154" s="49"/>
      <c r="FB154" s="48"/>
      <c r="FC154" s="176"/>
    </row>
    <row r="155" spans="1:159" x14ac:dyDescent="0.25">
      <c r="A155" s="117"/>
      <c r="B155" s="63"/>
      <c r="C155" s="53"/>
      <c r="D155" s="53"/>
      <c r="E155" s="53"/>
      <c r="F155" s="53"/>
      <c r="G155" s="174"/>
      <c r="H155" s="49"/>
      <c r="I155" s="49"/>
      <c r="J155" s="49"/>
      <c r="K155" s="49"/>
      <c r="Y155" s="49"/>
      <c r="AK155" s="49"/>
      <c r="AP155" s="49"/>
      <c r="AQ155" s="49"/>
      <c r="AR155" s="49"/>
      <c r="AS155" s="49"/>
      <c r="AT155" s="49"/>
      <c r="DC155" s="49"/>
      <c r="FB155" s="48"/>
      <c r="FC155" s="176"/>
    </row>
    <row r="156" spans="1:159" x14ac:dyDescent="0.25">
      <c r="A156" s="117"/>
      <c r="B156" s="63"/>
      <c r="C156" s="53"/>
      <c r="D156" s="53"/>
      <c r="E156" s="53"/>
      <c r="F156" s="53"/>
      <c r="G156" s="174"/>
      <c r="H156" s="49"/>
      <c r="I156" s="49"/>
      <c r="J156" s="49"/>
      <c r="K156" s="49"/>
      <c r="Y156" s="49"/>
      <c r="AK156" s="49"/>
      <c r="AP156" s="49"/>
      <c r="AQ156" s="49"/>
      <c r="AR156" s="49"/>
      <c r="AS156" s="49"/>
      <c r="AT156" s="49"/>
      <c r="DC156" s="49"/>
      <c r="FB156" s="48"/>
      <c r="FC156" s="176"/>
    </row>
    <row r="157" spans="1:159" x14ac:dyDescent="0.25">
      <c r="A157" s="117"/>
      <c r="B157" s="63"/>
      <c r="C157" s="53"/>
      <c r="D157" s="53"/>
      <c r="E157" s="53"/>
      <c r="F157" s="53"/>
      <c r="G157" s="174"/>
      <c r="H157" s="49"/>
      <c r="I157" s="49"/>
      <c r="J157" s="49"/>
      <c r="K157" s="49"/>
      <c r="Y157" s="49"/>
      <c r="AK157" s="49"/>
      <c r="AP157" s="49"/>
      <c r="AQ157" s="49"/>
      <c r="AR157" s="49"/>
      <c r="AS157" s="49"/>
      <c r="AT157" s="49"/>
      <c r="DC157" s="49"/>
      <c r="FB157" s="48"/>
      <c r="FC157" s="176"/>
    </row>
    <row r="158" spans="1:159" x14ac:dyDescent="0.25">
      <c r="A158" s="117"/>
      <c r="B158" s="63"/>
      <c r="C158" s="53"/>
      <c r="D158" s="53"/>
      <c r="E158" s="53"/>
      <c r="F158" s="53"/>
      <c r="G158" s="174"/>
      <c r="H158" s="49"/>
      <c r="I158" s="49"/>
      <c r="J158" s="49"/>
      <c r="K158" s="49"/>
      <c r="Y158" s="49"/>
      <c r="AK158" s="49"/>
      <c r="AP158" s="49"/>
      <c r="AQ158" s="49"/>
      <c r="AR158" s="49"/>
      <c r="AS158" s="49"/>
      <c r="AT158" s="49"/>
      <c r="DC158" s="49"/>
      <c r="FB158" s="48"/>
      <c r="FC158" s="176"/>
    </row>
    <row r="159" spans="1:159" x14ac:dyDescent="0.25">
      <c r="A159" s="117"/>
      <c r="B159" s="63"/>
      <c r="C159" s="53"/>
      <c r="D159" s="53"/>
      <c r="E159" s="53"/>
      <c r="F159" s="53"/>
      <c r="G159" s="174"/>
      <c r="H159" s="49"/>
      <c r="I159" s="49"/>
      <c r="J159" s="49"/>
      <c r="K159" s="49"/>
      <c r="Y159" s="49"/>
      <c r="AK159" s="49"/>
      <c r="AP159" s="49"/>
      <c r="AQ159" s="49"/>
      <c r="AR159" s="49"/>
      <c r="AS159" s="49"/>
      <c r="AT159" s="49"/>
      <c r="DC159" s="49"/>
      <c r="FB159" s="48"/>
      <c r="FC159" s="176"/>
    </row>
    <row r="160" spans="1:159" x14ac:dyDescent="0.25">
      <c r="A160" s="117"/>
      <c r="B160" s="63"/>
      <c r="C160" s="53"/>
      <c r="D160" s="53"/>
      <c r="E160" s="53"/>
      <c r="F160" s="53"/>
      <c r="G160" s="174"/>
      <c r="H160" s="49"/>
      <c r="I160" s="49"/>
      <c r="J160" s="49"/>
      <c r="K160" s="49"/>
      <c r="Y160" s="49"/>
      <c r="AK160" s="49"/>
      <c r="AP160" s="49"/>
      <c r="AQ160" s="49"/>
      <c r="AR160" s="49"/>
      <c r="AS160" s="49"/>
      <c r="AT160" s="49"/>
      <c r="DC160" s="49"/>
      <c r="FB160" s="48"/>
      <c r="FC160" s="176"/>
    </row>
    <row r="161" spans="1:159" x14ac:dyDescent="0.25">
      <c r="A161" s="117"/>
      <c r="B161" s="63"/>
      <c r="C161" s="53"/>
      <c r="D161" s="53"/>
      <c r="E161" s="53"/>
      <c r="F161" s="53"/>
      <c r="G161" s="174"/>
      <c r="H161" s="49"/>
      <c r="I161" s="49"/>
      <c r="J161" s="49"/>
      <c r="K161" s="49"/>
      <c r="Y161" s="49"/>
      <c r="AK161" s="49"/>
      <c r="AP161" s="49"/>
      <c r="AQ161" s="49"/>
      <c r="AR161" s="49"/>
      <c r="AS161" s="49"/>
      <c r="AT161" s="49"/>
      <c r="DC161" s="49"/>
      <c r="FB161" s="48"/>
      <c r="FC161" s="176"/>
    </row>
    <row r="162" spans="1:159" x14ac:dyDescent="0.25">
      <c r="A162" s="117"/>
      <c r="B162" s="63"/>
      <c r="C162" s="53"/>
      <c r="D162" s="53"/>
      <c r="E162" s="53"/>
      <c r="F162" s="53"/>
      <c r="G162" s="174"/>
      <c r="H162" s="49"/>
      <c r="I162" s="49"/>
      <c r="J162" s="49"/>
      <c r="K162" s="49"/>
      <c r="Y162" s="49"/>
      <c r="AK162" s="49"/>
      <c r="AP162" s="49"/>
      <c r="AQ162" s="49"/>
      <c r="AR162" s="49"/>
      <c r="AS162" s="49"/>
      <c r="AT162" s="49"/>
      <c r="DC162" s="49"/>
      <c r="FB162" s="48"/>
      <c r="FC162" s="176"/>
    </row>
    <row r="163" spans="1:159" x14ac:dyDescent="0.25">
      <c r="A163" s="117"/>
      <c r="B163" s="63"/>
      <c r="C163" s="53"/>
      <c r="D163" s="53"/>
      <c r="E163" s="53"/>
      <c r="F163" s="53"/>
      <c r="G163" s="174"/>
      <c r="H163" s="49"/>
      <c r="I163" s="49"/>
      <c r="J163" s="49"/>
      <c r="K163" s="49"/>
      <c r="Y163" s="49"/>
      <c r="AK163" s="49"/>
      <c r="AP163" s="49"/>
      <c r="AQ163" s="49"/>
      <c r="AR163" s="49"/>
      <c r="AS163" s="49"/>
      <c r="AT163" s="49"/>
      <c r="DC163" s="49"/>
      <c r="FB163" s="48"/>
      <c r="FC163" s="176"/>
    </row>
    <row r="164" spans="1:159" x14ac:dyDescent="0.25">
      <c r="A164" s="117"/>
      <c r="B164" s="63"/>
      <c r="C164" s="53"/>
      <c r="D164" s="53"/>
      <c r="E164" s="53"/>
      <c r="F164" s="53"/>
      <c r="G164" s="174"/>
      <c r="H164" s="49"/>
      <c r="I164" s="49"/>
      <c r="J164" s="49"/>
      <c r="K164" s="49"/>
      <c r="Y164" s="49"/>
      <c r="AK164" s="49"/>
      <c r="AP164" s="49"/>
      <c r="AQ164" s="49"/>
      <c r="AR164" s="49"/>
      <c r="AS164" s="49"/>
      <c r="AT164" s="49"/>
      <c r="DC164" s="49"/>
      <c r="FB164" s="48"/>
      <c r="FC164" s="176"/>
    </row>
    <row r="165" spans="1:159" x14ac:dyDescent="0.25">
      <c r="A165" s="117"/>
      <c r="B165" s="63"/>
      <c r="C165" s="53"/>
      <c r="D165" s="53"/>
      <c r="E165" s="53"/>
      <c r="F165" s="53"/>
      <c r="G165" s="174"/>
      <c r="H165" s="49"/>
      <c r="I165" s="49"/>
      <c r="J165" s="49"/>
      <c r="K165" s="49"/>
      <c r="Y165" s="49"/>
      <c r="AK165" s="49"/>
      <c r="AP165" s="49"/>
      <c r="AQ165" s="49"/>
      <c r="AR165" s="49"/>
      <c r="AS165" s="49"/>
      <c r="AT165" s="49"/>
      <c r="DC165" s="49"/>
      <c r="FB165" s="48"/>
      <c r="FC165" s="176"/>
    </row>
    <row r="166" spans="1:159" x14ac:dyDescent="0.25">
      <c r="A166" s="117"/>
      <c r="B166" s="63"/>
      <c r="C166" s="53"/>
      <c r="D166" s="53"/>
      <c r="E166" s="53"/>
      <c r="F166" s="53"/>
      <c r="G166" s="174"/>
      <c r="H166" s="49"/>
      <c r="I166" s="49"/>
      <c r="J166" s="49"/>
      <c r="K166" s="49"/>
      <c r="Y166" s="49"/>
      <c r="AK166" s="49"/>
      <c r="AP166" s="49"/>
      <c r="AQ166" s="49"/>
      <c r="AR166" s="49"/>
      <c r="AS166" s="49"/>
      <c r="AT166" s="49"/>
      <c r="DC166" s="49"/>
      <c r="FB166" s="48"/>
      <c r="FC166" s="176"/>
    </row>
    <row r="167" spans="1:159" x14ac:dyDescent="0.25">
      <c r="A167" s="117"/>
      <c r="B167" s="63"/>
      <c r="C167" s="53"/>
      <c r="D167" s="53"/>
      <c r="E167" s="53"/>
      <c r="F167" s="53"/>
      <c r="G167" s="174"/>
      <c r="H167" s="49"/>
      <c r="I167" s="49"/>
      <c r="J167" s="49"/>
      <c r="K167" s="49"/>
      <c r="Y167" s="49"/>
      <c r="AK167" s="49"/>
      <c r="AP167" s="49"/>
      <c r="AQ167" s="49"/>
      <c r="AR167" s="49"/>
      <c r="AS167" s="49"/>
      <c r="AT167" s="49"/>
      <c r="DC167" s="49"/>
      <c r="FB167" s="48"/>
      <c r="FC167" s="176"/>
    </row>
    <row r="168" spans="1:159" x14ac:dyDescent="0.25">
      <c r="A168" s="117"/>
      <c r="B168" s="63"/>
      <c r="C168" s="53"/>
      <c r="D168" s="53"/>
      <c r="E168" s="53"/>
      <c r="F168" s="53"/>
      <c r="G168" s="174"/>
      <c r="H168" s="49"/>
      <c r="I168" s="49"/>
      <c r="J168" s="49"/>
      <c r="K168" s="49"/>
      <c r="Y168" s="49"/>
      <c r="AK168" s="49"/>
      <c r="AP168" s="49"/>
      <c r="AQ168" s="49"/>
      <c r="AR168" s="49"/>
      <c r="AS168" s="49"/>
      <c r="AT168" s="49"/>
      <c r="DC168" s="49"/>
      <c r="FB168" s="48"/>
      <c r="FC168" s="176"/>
    </row>
    <row r="169" spans="1:159" x14ac:dyDescent="0.25">
      <c r="A169" s="117"/>
      <c r="B169" s="63"/>
      <c r="C169" s="53"/>
      <c r="D169" s="53"/>
      <c r="E169" s="53"/>
      <c r="F169" s="53"/>
      <c r="G169" s="174"/>
      <c r="H169" s="49"/>
      <c r="I169" s="49"/>
      <c r="J169" s="49"/>
      <c r="K169" s="49"/>
      <c r="Y169" s="49"/>
      <c r="AK169" s="49"/>
      <c r="AP169" s="49"/>
      <c r="AQ169" s="49"/>
      <c r="AR169" s="49"/>
      <c r="AS169" s="49"/>
      <c r="AT169" s="49"/>
      <c r="DC169" s="49"/>
      <c r="FB169" s="48"/>
      <c r="FC169" s="176"/>
    </row>
    <row r="170" spans="1:159" x14ac:dyDescent="0.25">
      <c r="A170" s="117"/>
      <c r="B170" s="63"/>
      <c r="C170" s="53"/>
      <c r="D170" s="53"/>
      <c r="E170" s="53"/>
      <c r="F170" s="53"/>
      <c r="G170" s="174"/>
      <c r="H170" s="49"/>
      <c r="I170" s="49"/>
      <c r="J170" s="49"/>
      <c r="K170" s="49"/>
      <c r="Y170" s="49"/>
      <c r="AK170" s="49"/>
      <c r="AP170" s="49"/>
      <c r="AQ170" s="49"/>
      <c r="AR170" s="49"/>
      <c r="AS170" s="49"/>
      <c r="AT170" s="49"/>
      <c r="DC170" s="49"/>
      <c r="FB170" s="48"/>
      <c r="FC170" s="176"/>
    </row>
    <row r="171" spans="1:159" x14ac:dyDescent="0.25">
      <c r="A171" s="117"/>
      <c r="B171" s="63"/>
      <c r="C171" s="53"/>
      <c r="D171" s="53"/>
      <c r="E171" s="53"/>
      <c r="F171" s="53"/>
      <c r="G171" s="174"/>
      <c r="H171" s="49"/>
      <c r="I171" s="49"/>
      <c r="J171" s="49"/>
      <c r="K171" s="49"/>
      <c r="Y171" s="49"/>
      <c r="AK171" s="49"/>
      <c r="AP171" s="49"/>
      <c r="AQ171" s="49"/>
      <c r="AR171" s="49"/>
      <c r="AS171" s="49"/>
      <c r="AT171" s="49"/>
      <c r="DC171" s="49"/>
      <c r="FB171" s="48"/>
      <c r="FC171" s="176"/>
    </row>
    <row r="172" spans="1:159" x14ac:dyDescent="0.25">
      <c r="A172" s="117"/>
      <c r="B172" s="63"/>
      <c r="C172" s="53"/>
      <c r="D172" s="53"/>
      <c r="E172" s="53"/>
      <c r="F172" s="53"/>
      <c r="G172" s="174"/>
      <c r="H172" s="49"/>
      <c r="I172" s="49"/>
      <c r="J172" s="49"/>
      <c r="K172" s="49"/>
      <c r="Y172" s="49"/>
      <c r="AK172" s="49"/>
      <c r="AP172" s="49"/>
      <c r="AQ172" s="49"/>
      <c r="AR172" s="49"/>
      <c r="AS172" s="49"/>
      <c r="AT172" s="49"/>
      <c r="DC172" s="49"/>
      <c r="FB172" s="48"/>
      <c r="FC172" s="176"/>
    </row>
    <row r="173" spans="1:159" x14ac:dyDescent="0.25">
      <c r="A173" s="117"/>
      <c r="B173" s="63"/>
      <c r="C173" s="53"/>
      <c r="D173" s="53"/>
      <c r="E173" s="53"/>
      <c r="F173" s="53"/>
      <c r="G173" s="174"/>
      <c r="H173" s="49"/>
      <c r="I173" s="49"/>
      <c r="J173" s="49"/>
      <c r="K173" s="49"/>
      <c r="Y173" s="49"/>
      <c r="AK173" s="49"/>
      <c r="AP173" s="49"/>
      <c r="AQ173" s="49"/>
      <c r="AR173" s="49"/>
      <c r="AS173" s="49"/>
      <c r="AT173" s="49"/>
      <c r="DC173" s="49"/>
      <c r="FB173" s="48"/>
      <c r="FC173" s="176"/>
    </row>
    <row r="174" spans="1:159" x14ac:dyDescent="0.25">
      <c r="A174" s="117"/>
      <c r="B174" s="63"/>
      <c r="C174" s="53"/>
      <c r="D174" s="53"/>
      <c r="E174" s="53"/>
      <c r="F174" s="53"/>
      <c r="G174" s="174"/>
      <c r="H174" s="49"/>
      <c r="I174" s="49"/>
      <c r="J174" s="49"/>
      <c r="K174" s="49"/>
      <c r="Y174" s="49"/>
      <c r="AK174" s="49"/>
      <c r="AP174" s="49"/>
      <c r="AQ174" s="49"/>
      <c r="AR174" s="49"/>
      <c r="AS174" s="49"/>
      <c r="AT174" s="49"/>
      <c r="DC174" s="49"/>
      <c r="FB174" s="48"/>
      <c r="FC174" s="176"/>
    </row>
    <row r="175" spans="1:159" x14ac:dyDescent="0.25">
      <c r="A175" s="117"/>
      <c r="B175" s="63"/>
      <c r="C175" s="53"/>
      <c r="D175" s="53"/>
      <c r="E175" s="53"/>
      <c r="F175" s="53"/>
      <c r="G175" s="174"/>
      <c r="H175" s="49"/>
      <c r="I175" s="49"/>
      <c r="J175" s="49"/>
      <c r="K175" s="49"/>
      <c r="Y175" s="49"/>
      <c r="AK175" s="49"/>
      <c r="AP175" s="49"/>
      <c r="AQ175" s="49"/>
      <c r="AR175" s="49"/>
      <c r="AS175" s="49"/>
      <c r="AT175" s="49"/>
      <c r="DC175" s="49"/>
      <c r="FB175" s="48"/>
      <c r="FC175" s="176"/>
    </row>
    <row r="176" spans="1:159" x14ac:dyDescent="0.25">
      <c r="A176" s="117"/>
      <c r="B176" s="63"/>
      <c r="C176" s="53"/>
      <c r="D176" s="53"/>
      <c r="E176" s="53"/>
      <c r="F176" s="53"/>
      <c r="G176" s="174"/>
      <c r="H176" s="49"/>
      <c r="I176" s="49"/>
      <c r="J176" s="49"/>
      <c r="K176" s="49"/>
      <c r="Y176" s="49"/>
      <c r="AK176" s="49"/>
      <c r="AP176" s="49"/>
      <c r="AQ176" s="49"/>
      <c r="AR176" s="49"/>
      <c r="AS176" s="49"/>
      <c r="AT176" s="49"/>
      <c r="DC176" s="49"/>
      <c r="FB176" s="48"/>
      <c r="FC176" s="176"/>
    </row>
    <row r="177" spans="1:159" x14ac:dyDescent="0.25">
      <c r="A177" s="117"/>
      <c r="B177" s="63"/>
      <c r="C177" s="53"/>
      <c r="D177" s="53"/>
      <c r="E177" s="53"/>
      <c r="F177" s="53"/>
      <c r="G177" s="174"/>
      <c r="H177" s="49"/>
      <c r="I177" s="49"/>
      <c r="J177" s="49"/>
      <c r="K177" s="49"/>
      <c r="Y177" s="49"/>
      <c r="AK177" s="49"/>
      <c r="AP177" s="49"/>
      <c r="AQ177" s="49"/>
      <c r="AR177" s="49"/>
      <c r="AS177" s="49"/>
      <c r="AT177" s="49"/>
      <c r="DC177" s="49"/>
      <c r="FB177" s="48"/>
      <c r="FC177" s="176"/>
    </row>
    <row r="178" spans="1:159" x14ac:dyDescent="0.25">
      <c r="A178" s="117"/>
      <c r="B178" s="63"/>
      <c r="C178" s="53"/>
      <c r="D178" s="53"/>
      <c r="E178" s="53"/>
      <c r="F178" s="53"/>
      <c r="G178" s="174"/>
      <c r="H178" s="49"/>
      <c r="I178" s="49"/>
      <c r="J178" s="49"/>
      <c r="K178" s="49"/>
      <c r="Y178" s="49"/>
      <c r="AK178" s="49"/>
      <c r="AP178" s="49"/>
      <c r="AQ178" s="49"/>
      <c r="AR178" s="49"/>
      <c r="AS178" s="49"/>
      <c r="AT178" s="49"/>
      <c r="DC178" s="49"/>
      <c r="FB178" s="48"/>
      <c r="FC178" s="176"/>
    </row>
    <row r="179" spans="1:159" x14ac:dyDescent="0.25">
      <c r="A179" s="117"/>
      <c r="B179" s="63"/>
      <c r="C179" s="53"/>
      <c r="D179" s="53"/>
      <c r="E179" s="53"/>
      <c r="F179" s="53"/>
      <c r="G179" s="174"/>
      <c r="H179" s="49"/>
      <c r="I179" s="49"/>
      <c r="J179" s="49"/>
      <c r="K179" s="49"/>
      <c r="Y179" s="49"/>
      <c r="AK179" s="49"/>
      <c r="AP179" s="49"/>
      <c r="AQ179" s="49"/>
      <c r="AR179" s="49"/>
      <c r="AS179" s="49"/>
      <c r="AT179" s="49"/>
      <c r="DC179" s="49"/>
      <c r="FB179" s="48"/>
      <c r="FC179" s="176"/>
    </row>
    <row r="180" spans="1:159" x14ac:dyDescent="0.25">
      <c r="A180" s="117"/>
      <c r="B180" s="63"/>
      <c r="C180" s="53"/>
      <c r="D180" s="53"/>
      <c r="E180" s="53"/>
      <c r="F180" s="53"/>
      <c r="G180" s="174"/>
      <c r="H180" s="49"/>
      <c r="I180" s="49"/>
      <c r="J180" s="49"/>
      <c r="K180" s="49"/>
      <c r="Y180" s="49"/>
      <c r="AK180" s="49"/>
      <c r="AP180" s="49"/>
      <c r="AQ180" s="49"/>
      <c r="AR180" s="49"/>
      <c r="AS180" s="49"/>
      <c r="AT180" s="49"/>
      <c r="DC180" s="49"/>
      <c r="FB180" s="48"/>
      <c r="FC180" s="176"/>
    </row>
    <row r="181" spans="1:159" x14ac:dyDescent="0.25">
      <c r="A181" s="117"/>
      <c r="B181" s="63"/>
      <c r="C181" s="53"/>
      <c r="D181" s="53"/>
      <c r="E181" s="53"/>
      <c r="F181" s="53"/>
      <c r="G181" s="174"/>
      <c r="H181" s="49"/>
      <c r="I181" s="49"/>
      <c r="J181" s="49"/>
      <c r="K181" s="49"/>
      <c r="Y181" s="49"/>
      <c r="AK181" s="49"/>
      <c r="AP181" s="49"/>
      <c r="AQ181" s="49"/>
      <c r="AR181" s="49"/>
      <c r="AS181" s="49"/>
      <c r="AT181" s="49"/>
      <c r="DC181" s="49"/>
      <c r="FB181" s="48"/>
      <c r="FC181" s="176"/>
    </row>
    <row r="182" spans="1:159" x14ac:dyDescent="0.25">
      <c r="A182" s="117"/>
      <c r="B182" s="63"/>
      <c r="C182" s="53"/>
      <c r="D182" s="53"/>
      <c r="E182" s="53"/>
      <c r="F182" s="53"/>
      <c r="G182" s="174"/>
      <c r="H182" s="49"/>
      <c r="I182" s="49"/>
      <c r="J182" s="49"/>
      <c r="K182" s="49"/>
      <c r="Y182" s="49"/>
      <c r="AK182" s="49"/>
      <c r="AP182" s="49"/>
      <c r="AQ182" s="49"/>
      <c r="AR182" s="49"/>
      <c r="AS182" s="49"/>
      <c r="AT182" s="49"/>
      <c r="DC182" s="49"/>
      <c r="FB182" s="48"/>
      <c r="FC182" s="176"/>
    </row>
    <row r="183" spans="1:159" x14ac:dyDescent="0.25">
      <c r="A183" s="117"/>
      <c r="B183" s="63"/>
      <c r="C183" s="53"/>
      <c r="D183" s="53"/>
      <c r="E183" s="53"/>
      <c r="F183" s="53"/>
      <c r="G183" s="174"/>
      <c r="H183" s="49"/>
      <c r="I183" s="49"/>
      <c r="J183" s="49"/>
      <c r="K183" s="49"/>
      <c r="Y183" s="49"/>
      <c r="AK183" s="49"/>
      <c r="AP183" s="49"/>
      <c r="AQ183" s="49"/>
      <c r="AR183" s="49"/>
      <c r="AS183" s="49"/>
      <c r="AT183" s="49"/>
      <c r="DC183" s="49"/>
      <c r="FB183" s="48"/>
      <c r="FC183" s="176"/>
    </row>
    <row r="184" spans="1:159" x14ac:dyDescent="0.25">
      <c r="A184" s="117"/>
      <c r="B184" s="63"/>
      <c r="C184" s="53"/>
      <c r="D184" s="53"/>
      <c r="E184" s="53"/>
      <c r="F184" s="53"/>
      <c r="G184" s="174"/>
      <c r="H184" s="49"/>
      <c r="I184" s="49"/>
      <c r="J184" s="49"/>
      <c r="K184" s="49"/>
      <c r="Y184" s="49"/>
      <c r="AK184" s="49"/>
      <c r="AP184" s="49"/>
      <c r="AQ184" s="49"/>
      <c r="AR184" s="49"/>
      <c r="AS184" s="49"/>
      <c r="AT184" s="49"/>
      <c r="DC184" s="49"/>
      <c r="FB184" s="48"/>
      <c r="FC184" s="176"/>
    </row>
    <row r="185" spans="1:159" x14ac:dyDescent="0.25">
      <c r="A185" s="117"/>
      <c r="B185" s="63"/>
      <c r="C185" s="53"/>
      <c r="D185" s="53"/>
      <c r="E185" s="53"/>
      <c r="F185" s="53"/>
      <c r="G185" s="174"/>
      <c r="H185" s="49"/>
      <c r="I185" s="49"/>
      <c r="J185" s="49"/>
      <c r="K185" s="49"/>
      <c r="Y185" s="49"/>
      <c r="AK185" s="49"/>
      <c r="AP185" s="49"/>
      <c r="AQ185" s="49"/>
      <c r="AR185" s="49"/>
      <c r="AS185" s="49"/>
      <c r="AT185" s="49"/>
      <c r="DC185" s="49"/>
      <c r="FB185" s="48"/>
      <c r="FC185" s="176"/>
    </row>
    <row r="186" spans="1:159" x14ac:dyDescent="0.25">
      <c r="A186" s="117"/>
      <c r="B186" s="63"/>
      <c r="C186" s="53"/>
      <c r="D186" s="53"/>
      <c r="E186" s="53"/>
      <c r="F186" s="53"/>
      <c r="G186" s="174"/>
      <c r="H186" s="49"/>
      <c r="I186" s="49"/>
      <c r="J186" s="49"/>
      <c r="K186" s="49"/>
      <c r="Y186" s="49"/>
      <c r="AK186" s="49"/>
      <c r="AP186" s="49"/>
      <c r="AQ186" s="49"/>
      <c r="AR186" s="49"/>
      <c r="AS186" s="49"/>
      <c r="AT186" s="49"/>
      <c r="DC186" s="49"/>
      <c r="FB186" s="48"/>
      <c r="FC186" s="176"/>
    </row>
    <row r="187" spans="1:159" x14ac:dyDescent="0.25">
      <c r="A187" s="117"/>
      <c r="B187" s="63"/>
      <c r="C187" s="53"/>
      <c r="D187" s="53"/>
      <c r="E187" s="53"/>
      <c r="F187" s="53"/>
      <c r="G187" s="174"/>
      <c r="H187" s="49"/>
      <c r="I187" s="49"/>
      <c r="J187" s="49"/>
      <c r="K187" s="49"/>
      <c r="Y187" s="49"/>
      <c r="AK187" s="49"/>
      <c r="AP187" s="49"/>
      <c r="AQ187" s="49"/>
      <c r="AR187" s="49"/>
      <c r="AS187" s="49"/>
      <c r="AT187" s="49"/>
      <c r="DC187" s="49"/>
      <c r="FB187" s="48"/>
      <c r="FC187" s="176"/>
    </row>
    <row r="188" spans="1:159" x14ac:dyDescent="0.25">
      <c r="A188" s="117"/>
      <c r="B188" s="63"/>
      <c r="C188" s="53"/>
      <c r="D188" s="53"/>
      <c r="E188" s="53"/>
      <c r="F188" s="53"/>
      <c r="G188" s="174"/>
      <c r="H188" s="49"/>
      <c r="I188" s="49"/>
      <c r="J188" s="49"/>
      <c r="K188" s="49"/>
      <c r="Y188" s="49"/>
      <c r="AK188" s="52"/>
      <c r="AP188" s="49"/>
      <c r="AQ188" s="49"/>
      <c r="AR188" s="49"/>
      <c r="AS188" s="49"/>
      <c r="AT188" s="49"/>
      <c r="DC188" s="49"/>
      <c r="FB188" s="48"/>
      <c r="FC188" s="176"/>
    </row>
    <row r="189" spans="1:159" x14ac:dyDescent="0.25">
      <c r="A189" s="117"/>
      <c r="B189" s="63"/>
      <c r="C189" s="53"/>
      <c r="D189" s="53"/>
      <c r="E189" s="53"/>
      <c r="F189" s="53"/>
      <c r="G189" s="174"/>
      <c r="H189" s="49"/>
      <c r="I189" s="49"/>
      <c r="J189" s="49"/>
      <c r="K189" s="49"/>
      <c r="Y189" s="49"/>
      <c r="AK189" s="52"/>
      <c r="AP189" s="49"/>
      <c r="AQ189" s="49"/>
      <c r="AR189" s="49"/>
      <c r="AS189" s="49"/>
      <c r="AT189" s="49"/>
      <c r="DC189" s="49"/>
      <c r="FB189" s="48"/>
      <c r="FC189" s="176"/>
    </row>
    <row r="190" spans="1:159" x14ac:dyDescent="0.25">
      <c r="A190" s="117"/>
      <c r="B190" s="63"/>
      <c r="C190" s="53"/>
      <c r="D190" s="53"/>
      <c r="E190" s="53"/>
      <c r="F190" s="53"/>
      <c r="G190" s="174"/>
      <c r="H190" s="49"/>
      <c r="I190" s="49"/>
      <c r="J190" s="49"/>
      <c r="K190" s="49"/>
      <c r="Y190" s="49"/>
      <c r="AK190" s="52"/>
      <c r="AP190" s="49"/>
      <c r="AQ190" s="49"/>
      <c r="AR190" s="49"/>
      <c r="AS190" s="49"/>
      <c r="AT190" s="49"/>
      <c r="DC190" s="49"/>
      <c r="FB190" s="48"/>
      <c r="FC190" s="176"/>
    </row>
    <row r="191" spans="1:159" x14ac:dyDescent="0.25">
      <c r="A191" s="117"/>
      <c r="B191" s="63"/>
      <c r="C191" s="53"/>
      <c r="D191" s="53"/>
      <c r="E191" s="53"/>
      <c r="F191" s="53"/>
      <c r="G191" s="174"/>
      <c r="H191" s="49"/>
      <c r="I191" s="49"/>
      <c r="J191" s="49"/>
      <c r="K191" s="49"/>
      <c r="Y191" s="49"/>
      <c r="AK191" s="52"/>
      <c r="AP191" s="49"/>
      <c r="AQ191" s="49"/>
      <c r="AR191" s="49"/>
      <c r="AS191" s="49"/>
      <c r="AT191" s="49"/>
      <c r="DC191" s="49"/>
      <c r="FB191" s="48"/>
      <c r="FC191" s="176"/>
    </row>
    <row r="192" spans="1:159" x14ac:dyDescent="0.25">
      <c r="A192" s="117"/>
      <c r="B192" s="63"/>
      <c r="C192" s="53"/>
      <c r="D192" s="53"/>
      <c r="E192" s="53"/>
      <c r="F192" s="53"/>
      <c r="G192" s="174"/>
      <c r="H192" s="49"/>
      <c r="I192" s="49"/>
      <c r="J192" s="49"/>
      <c r="K192" s="49"/>
      <c r="Y192" s="49"/>
      <c r="AK192" s="52"/>
      <c r="AP192" s="49"/>
      <c r="AQ192" s="49"/>
      <c r="AR192" s="49"/>
      <c r="AS192" s="49"/>
      <c r="AT192" s="49"/>
      <c r="DC192" s="49"/>
      <c r="FB192" s="48"/>
      <c r="FC192" s="176"/>
    </row>
    <row r="193" spans="1:159" x14ac:dyDescent="0.25">
      <c r="A193" s="117"/>
      <c r="B193" s="63"/>
      <c r="C193" s="53"/>
      <c r="D193" s="53"/>
      <c r="E193" s="53"/>
      <c r="F193" s="53"/>
      <c r="G193" s="174"/>
      <c r="H193" s="49"/>
      <c r="I193" s="49"/>
      <c r="J193" s="49"/>
      <c r="K193" s="49"/>
      <c r="Y193" s="49"/>
      <c r="AK193" s="52"/>
      <c r="AP193" s="49"/>
      <c r="AQ193" s="49"/>
      <c r="AR193" s="49"/>
      <c r="AS193" s="49"/>
      <c r="AT193" s="49"/>
      <c r="DC193" s="49"/>
      <c r="FB193" s="48"/>
      <c r="FC193" s="176"/>
    </row>
    <row r="194" spans="1:159" x14ac:dyDescent="0.25">
      <c r="A194" s="117"/>
      <c r="B194" s="63"/>
      <c r="C194" s="53"/>
      <c r="D194" s="53"/>
      <c r="E194" s="53"/>
      <c r="F194" s="53"/>
      <c r="G194" s="174"/>
      <c r="H194" s="49"/>
      <c r="I194" s="49"/>
      <c r="J194" s="49"/>
      <c r="K194" s="49"/>
      <c r="Y194" s="49"/>
      <c r="AK194" s="52"/>
      <c r="AP194" s="49"/>
      <c r="AQ194" s="49"/>
      <c r="AR194" s="49"/>
      <c r="AS194" s="49"/>
      <c r="AT194" s="49"/>
      <c r="DC194" s="49"/>
      <c r="FB194" s="48"/>
      <c r="FC194" s="176"/>
    </row>
    <row r="195" spans="1:159" x14ac:dyDescent="0.25">
      <c r="A195" s="117"/>
      <c r="B195" s="63"/>
      <c r="C195" s="53"/>
      <c r="D195" s="53"/>
      <c r="E195" s="53"/>
      <c r="F195" s="53"/>
      <c r="G195" s="174"/>
      <c r="H195" s="49"/>
      <c r="I195" s="49"/>
      <c r="J195" s="49"/>
      <c r="K195" s="49"/>
      <c r="Y195" s="49"/>
      <c r="AK195" s="52"/>
      <c r="AP195" s="49"/>
      <c r="AQ195" s="49"/>
      <c r="AR195" s="49"/>
      <c r="AS195" s="49"/>
      <c r="AT195" s="49"/>
      <c r="DC195" s="49"/>
      <c r="FB195" s="48"/>
      <c r="FC195" s="176"/>
    </row>
    <row r="196" spans="1:159" x14ac:dyDescent="0.25">
      <c r="A196" s="117"/>
      <c r="B196" s="63"/>
      <c r="C196" s="53"/>
      <c r="D196" s="53"/>
      <c r="E196" s="53"/>
      <c r="F196" s="53"/>
      <c r="G196" s="174"/>
      <c r="H196" s="49"/>
      <c r="I196" s="49"/>
      <c r="J196" s="49"/>
      <c r="K196" s="49"/>
      <c r="Y196" s="49"/>
      <c r="AK196" s="52"/>
      <c r="AP196" s="49"/>
      <c r="AQ196" s="49"/>
      <c r="AR196" s="49"/>
      <c r="AS196" s="49"/>
      <c r="AT196" s="49"/>
      <c r="DC196" s="49"/>
      <c r="FB196" s="48"/>
      <c r="FC196" s="176"/>
    </row>
    <row r="197" spans="1:159" x14ac:dyDescent="0.25">
      <c r="A197" s="117"/>
      <c r="B197" s="63"/>
      <c r="C197" s="53"/>
      <c r="D197" s="53"/>
      <c r="E197" s="53"/>
      <c r="F197" s="53"/>
      <c r="G197" s="174"/>
      <c r="H197" s="49"/>
      <c r="I197" s="49"/>
      <c r="J197" s="49"/>
      <c r="K197" s="49"/>
      <c r="Y197" s="49"/>
      <c r="AK197" s="52"/>
      <c r="AP197" s="49"/>
      <c r="AQ197" s="49"/>
      <c r="AR197" s="49"/>
      <c r="AS197" s="49"/>
      <c r="AT197" s="49"/>
      <c r="DC197" s="49"/>
      <c r="FB197" s="48"/>
      <c r="FC197" s="176"/>
    </row>
    <row r="198" spans="1:159" x14ac:dyDescent="0.25">
      <c r="A198" s="117"/>
      <c r="B198" s="63"/>
      <c r="C198" s="53"/>
      <c r="D198" s="53"/>
      <c r="E198" s="53"/>
      <c r="F198" s="53"/>
      <c r="G198" s="174"/>
      <c r="H198" s="49"/>
      <c r="I198" s="49"/>
      <c r="J198" s="49"/>
      <c r="K198" s="49"/>
      <c r="Y198" s="49"/>
      <c r="AK198" s="52"/>
      <c r="AP198" s="49"/>
      <c r="AQ198" s="49"/>
      <c r="AR198" s="49"/>
      <c r="AS198" s="49"/>
      <c r="AT198" s="49"/>
      <c r="DC198" s="49"/>
      <c r="FB198" s="48"/>
      <c r="FC198" s="176"/>
    </row>
    <row r="199" spans="1:159" x14ac:dyDescent="0.25">
      <c r="A199" s="117"/>
      <c r="B199" s="63"/>
      <c r="C199" s="53"/>
      <c r="D199" s="53"/>
      <c r="E199" s="53"/>
      <c r="F199" s="53"/>
      <c r="G199" s="174"/>
      <c r="H199" s="49"/>
      <c r="I199" s="49"/>
      <c r="J199" s="49"/>
      <c r="K199" s="49"/>
      <c r="Y199" s="49"/>
      <c r="AK199" s="52"/>
      <c r="AP199" s="49"/>
      <c r="AQ199" s="49"/>
      <c r="AR199" s="49"/>
      <c r="AS199" s="49"/>
      <c r="AT199" s="49"/>
      <c r="DC199" s="49"/>
      <c r="FB199" s="48"/>
      <c r="FC199" s="176"/>
    </row>
    <row r="200" spans="1:159" x14ac:dyDescent="0.25">
      <c r="A200" s="117"/>
      <c r="B200" s="63"/>
      <c r="C200" s="53"/>
      <c r="D200" s="53"/>
      <c r="E200" s="53"/>
      <c r="F200" s="53"/>
      <c r="G200" s="174"/>
      <c r="H200" s="49"/>
      <c r="I200" s="49"/>
      <c r="J200" s="49"/>
      <c r="K200" s="49"/>
      <c r="Y200" s="49"/>
      <c r="AK200" s="52"/>
      <c r="AP200" s="49"/>
      <c r="AQ200" s="49"/>
      <c r="AR200" s="49"/>
      <c r="AS200" s="49"/>
      <c r="AT200" s="49"/>
      <c r="DC200" s="49"/>
      <c r="FB200" s="48"/>
      <c r="FC200" s="176"/>
    </row>
    <row r="201" spans="1:159" x14ac:dyDescent="0.25">
      <c r="A201" s="117"/>
      <c r="B201" s="63"/>
      <c r="C201" s="53"/>
      <c r="D201" s="53"/>
      <c r="E201" s="53"/>
      <c r="F201" s="53"/>
      <c r="G201" s="174"/>
      <c r="H201" s="49"/>
      <c r="I201" s="49"/>
      <c r="J201" s="49"/>
      <c r="K201" s="49"/>
      <c r="Y201" s="49"/>
      <c r="AK201" s="52"/>
      <c r="AP201" s="49"/>
      <c r="AQ201" s="49"/>
      <c r="AR201" s="49"/>
      <c r="AS201" s="49"/>
      <c r="AT201" s="49"/>
      <c r="DC201" s="49"/>
      <c r="FB201" s="48"/>
      <c r="FC201" s="176"/>
    </row>
    <row r="202" spans="1:159" x14ac:dyDescent="0.25">
      <c r="A202" s="117"/>
      <c r="B202" s="63"/>
      <c r="C202" s="53"/>
      <c r="D202" s="53"/>
      <c r="E202" s="53"/>
      <c r="F202" s="53"/>
      <c r="G202" s="174"/>
      <c r="H202" s="49"/>
      <c r="I202" s="49"/>
      <c r="J202" s="49"/>
      <c r="K202" s="49"/>
      <c r="Y202" s="49"/>
      <c r="AK202" s="52"/>
      <c r="AP202" s="49"/>
      <c r="AQ202" s="49"/>
      <c r="AR202" s="49"/>
      <c r="AS202" s="49"/>
      <c r="AT202" s="49"/>
      <c r="DC202" s="49"/>
      <c r="FB202" s="48"/>
      <c r="FC202" s="176"/>
    </row>
    <row r="203" spans="1:159" x14ac:dyDescent="0.25">
      <c r="A203" s="117"/>
      <c r="B203" s="63"/>
      <c r="C203" s="53"/>
      <c r="D203" s="53"/>
      <c r="E203" s="53"/>
      <c r="F203" s="53"/>
      <c r="G203" s="174"/>
      <c r="H203" s="49"/>
      <c r="I203" s="49"/>
      <c r="J203" s="49"/>
      <c r="K203" s="49"/>
      <c r="Y203" s="49"/>
      <c r="AK203" s="52"/>
      <c r="AP203" s="49"/>
      <c r="AQ203" s="49"/>
      <c r="AR203" s="49"/>
      <c r="AS203" s="49"/>
      <c r="AT203" s="49"/>
      <c r="DC203" s="49"/>
      <c r="FB203" s="48"/>
      <c r="FC203" s="176"/>
    </row>
    <row r="204" spans="1:159" x14ac:dyDescent="0.25">
      <c r="A204" s="117"/>
      <c r="B204" s="63"/>
      <c r="C204" s="53"/>
      <c r="D204" s="53"/>
      <c r="E204" s="53"/>
      <c r="F204" s="53"/>
      <c r="G204" s="174"/>
      <c r="H204" s="49"/>
      <c r="I204" s="49"/>
      <c r="J204" s="49"/>
      <c r="K204" s="49"/>
      <c r="Y204" s="49"/>
      <c r="AK204" s="52"/>
      <c r="AP204" s="49"/>
      <c r="AQ204" s="49"/>
      <c r="AR204" s="49"/>
      <c r="AS204" s="49"/>
      <c r="AT204" s="49"/>
      <c r="DC204" s="49"/>
      <c r="FB204" s="48"/>
      <c r="FC204" s="176"/>
    </row>
    <row r="205" spans="1:159" x14ac:dyDescent="0.25">
      <c r="A205" s="117"/>
      <c r="B205" s="63"/>
      <c r="C205" s="53"/>
      <c r="D205" s="53"/>
      <c r="E205" s="53"/>
      <c r="F205" s="53"/>
      <c r="G205" s="174"/>
      <c r="H205" s="49"/>
      <c r="I205" s="49"/>
      <c r="J205" s="49"/>
      <c r="K205" s="49"/>
      <c r="Y205" s="49"/>
      <c r="AK205" s="52"/>
      <c r="AP205" s="49"/>
      <c r="AQ205" s="49"/>
      <c r="AR205" s="49"/>
      <c r="AS205" s="49"/>
      <c r="AT205" s="49"/>
      <c r="DC205" s="49"/>
      <c r="FB205" s="48"/>
      <c r="FC205" s="176"/>
    </row>
    <row r="206" spans="1:159" x14ac:dyDescent="0.25">
      <c r="A206" s="117"/>
      <c r="B206" s="63"/>
      <c r="C206" s="53"/>
      <c r="D206" s="53"/>
      <c r="E206" s="53"/>
      <c r="F206" s="53"/>
      <c r="G206" s="174"/>
      <c r="H206" s="49"/>
      <c r="I206" s="49"/>
      <c r="J206" s="49"/>
      <c r="K206" s="49"/>
      <c r="Y206" s="49"/>
      <c r="AK206" s="52"/>
      <c r="AP206" s="49"/>
      <c r="AQ206" s="49"/>
      <c r="AR206" s="49"/>
      <c r="AS206" s="49"/>
      <c r="AT206" s="49"/>
      <c r="DC206" s="49"/>
      <c r="FB206" s="48"/>
      <c r="FC206" s="176"/>
    </row>
    <row r="207" spans="1:159" x14ac:dyDescent="0.25">
      <c r="A207" s="117"/>
      <c r="B207" s="63"/>
      <c r="C207" s="53"/>
      <c r="D207" s="53"/>
      <c r="E207" s="53"/>
      <c r="F207" s="53"/>
      <c r="G207" s="174"/>
      <c r="H207" s="49"/>
      <c r="I207" s="49"/>
      <c r="J207" s="49"/>
      <c r="K207" s="49"/>
      <c r="Y207" s="49"/>
      <c r="AK207" s="52"/>
      <c r="AP207" s="49"/>
      <c r="AQ207" s="49"/>
      <c r="AR207" s="49"/>
      <c r="AS207" s="49"/>
      <c r="AT207" s="49"/>
      <c r="DC207" s="49"/>
      <c r="FB207" s="48"/>
      <c r="FC207" s="176"/>
    </row>
    <row r="208" spans="1:159" x14ac:dyDescent="0.25">
      <c r="A208" s="117"/>
      <c r="B208" s="63"/>
      <c r="C208" s="53"/>
      <c r="D208" s="53"/>
      <c r="E208" s="53"/>
      <c r="F208" s="53"/>
      <c r="G208" s="174"/>
      <c r="H208" s="49"/>
      <c r="I208" s="49"/>
      <c r="J208" s="49"/>
      <c r="K208" s="49"/>
      <c r="Y208" s="49"/>
      <c r="AK208" s="52"/>
      <c r="AP208" s="49"/>
      <c r="AQ208" s="49"/>
      <c r="AR208" s="49"/>
      <c r="AS208" s="49"/>
      <c r="AT208" s="49"/>
      <c r="DC208" s="49"/>
      <c r="FB208" s="48"/>
      <c r="FC208" s="176"/>
    </row>
    <row r="209" spans="1:159" x14ac:dyDescent="0.25">
      <c r="A209" s="117"/>
      <c r="B209" s="63"/>
      <c r="C209" s="53"/>
      <c r="D209" s="53"/>
      <c r="E209" s="53"/>
      <c r="F209" s="53"/>
      <c r="G209" s="174"/>
      <c r="H209" s="49"/>
      <c r="I209" s="49"/>
      <c r="J209" s="49"/>
      <c r="K209" s="49"/>
      <c r="Y209" s="49"/>
      <c r="AK209" s="52"/>
      <c r="AP209" s="49"/>
      <c r="AQ209" s="49"/>
      <c r="AR209" s="49"/>
      <c r="AS209" s="49"/>
      <c r="AT209" s="49"/>
      <c r="DC209" s="49"/>
      <c r="FB209" s="48"/>
      <c r="FC209" s="176"/>
    </row>
    <row r="210" spans="1:159" x14ac:dyDescent="0.25">
      <c r="A210" s="117"/>
      <c r="B210" s="63"/>
      <c r="C210" s="53"/>
      <c r="D210" s="53"/>
      <c r="E210" s="53"/>
      <c r="F210" s="53"/>
      <c r="G210" s="174"/>
      <c r="H210" s="49"/>
      <c r="I210" s="49"/>
      <c r="J210" s="49"/>
      <c r="K210" s="49"/>
      <c r="Y210" s="49"/>
      <c r="AP210" s="49"/>
      <c r="AQ210" s="49"/>
      <c r="AR210" s="49"/>
      <c r="AS210" s="49"/>
      <c r="AT210" s="49"/>
      <c r="DC210" s="49"/>
      <c r="FB210" s="48"/>
      <c r="FC210" s="176"/>
    </row>
    <row r="211" spans="1:159" x14ac:dyDescent="0.25">
      <c r="A211" s="117"/>
      <c r="B211" s="63"/>
      <c r="C211" s="53"/>
      <c r="D211" s="53"/>
      <c r="E211" s="53"/>
      <c r="F211" s="53"/>
      <c r="G211" s="174"/>
      <c r="H211" s="49"/>
      <c r="I211" s="49"/>
      <c r="J211" s="49"/>
      <c r="K211" s="49"/>
      <c r="Y211" s="49"/>
      <c r="AP211" s="49"/>
      <c r="AQ211" s="49"/>
      <c r="AR211" s="49"/>
      <c r="AS211" s="49"/>
      <c r="AT211" s="49"/>
      <c r="DC211" s="49"/>
      <c r="FB211" s="48"/>
      <c r="FC211" s="176"/>
    </row>
    <row r="212" spans="1:159" x14ac:dyDescent="0.25">
      <c r="A212" s="117"/>
      <c r="B212" s="63"/>
      <c r="C212" s="53"/>
      <c r="D212" s="53"/>
      <c r="E212" s="53"/>
      <c r="F212" s="53"/>
      <c r="G212" s="174"/>
      <c r="H212" s="49"/>
      <c r="I212" s="49"/>
      <c r="J212" s="49"/>
      <c r="K212" s="49"/>
      <c r="Y212" s="49"/>
      <c r="AP212" s="49"/>
      <c r="AQ212" s="49"/>
      <c r="AR212" s="49"/>
      <c r="AS212" s="49"/>
      <c r="AT212" s="49"/>
      <c r="DC212" s="49"/>
      <c r="FB212" s="48"/>
      <c r="FC212" s="176"/>
    </row>
    <row r="213" spans="1:159" x14ac:dyDescent="0.25">
      <c r="A213" s="117"/>
      <c r="B213" s="63"/>
      <c r="C213" s="53"/>
      <c r="D213" s="53"/>
      <c r="E213" s="53"/>
      <c r="F213" s="53"/>
      <c r="G213" s="174"/>
      <c r="H213" s="49"/>
      <c r="I213" s="49"/>
      <c r="J213" s="49"/>
      <c r="K213" s="49"/>
      <c r="Y213" s="49"/>
      <c r="AP213" s="49"/>
      <c r="AQ213" s="49"/>
      <c r="AR213" s="49"/>
      <c r="AS213" s="49"/>
      <c r="AT213" s="49"/>
      <c r="DC213" s="49"/>
      <c r="FB213" s="48"/>
      <c r="FC213" s="176"/>
    </row>
    <row r="214" spans="1:159" x14ac:dyDescent="0.25">
      <c r="A214" s="117"/>
      <c r="B214" s="63"/>
      <c r="C214" s="53"/>
      <c r="D214" s="53"/>
      <c r="E214" s="53"/>
      <c r="F214" s="53"/>
      <c r="G214" s="174"/>
      <c r="H214" s="49"/>
      <c r="I214" s="49"/>
      <c r="K214" s="52"/>
      <c r="Y214" s="49"/>
      <c r="AP214" s="49"/>
      <c r="AQ214" s="49"/>
      <c r="AR214" s="49"/>
      <c r="AS214" s="49"/>
      <c r="AT214" s="49"/>
      <c r="DC214" s="49"/>
      <c r="FB214" s="48"/>
      <c r="FC214" s="176"/>
    </row>
    <row r="215" spans="1:159" x14ac:dyDescent="0.25">
      <c r="A215" s="117"/>
      <c r="B215" s="63"/>
      <c r="C215" s="53"/>
      <c r="D215" s="53"/>
      <c r="E215" s="53"/>
      <c r="F215" s="53"/>
      <c r="G215" s="174"/>
      <c r="H215" s="49"/>
      <c r="I215" s="49"/>
      <c r="K215" s="52"/>
      <c r="Y215" s="49"/>
      <c r="AP215" s="49"/>
      <c r="AQ215" s="49"/>
      <c r="AR215" s="49"/>
      <c r="AS215" s="49"/>
      <c r="AT215" s="49"/>
      <c r="DC215" s="49"/>
      <c r="FB215" s="48"/>
      <c r="FC215" s="176"/>
    </row>
    <row r="216" spans="1:159" x14ac:dyDescent="0.25">
      <c r="A216" s="117"/>
      <c r="B216" s="63"/>
      <c r="C216" s="53"/>
      <c r="D216" s="53"/>
      <c r="E216" s="53"/>
      <c r="F216" s="53"/>
      <c r="G216" s="174"/>
      <c r="H216" s="49"/>
      <c r="I216" s="49"/>
      <c r="Y216" s="49"/>
      <c r="AP216" s="49"/>
      <c r="AQ216" s="49"/>
      <c r="AR216" s="49"/>
      <c r="AS216" s="49"/>
      <c r="AT216" s="49"/>
      <c r="DC216" s="49"/>
      <c r="FB216" s="48"/>
      <c r="FC216" s="176"/>
    </row>
    <row r="217" spans="1:159" x14ac:dyDescent="0.25">
      <c r="A217" s="117"/>
      <c r="B217" s="63"/>
      <c r="C217" s="53"/>
      <c r="D217" s="53"/>
      <c r="E217" s="53"/>
      <c r="F217" s="53"/>
      <c r="G217" s="174"/>
      <c r="H217" s="49"/>
      <c r="I217" s="49"/>
      <c r="Y217" s="49"/>
      <c r="AP217" s="49"/>
      <c r="AQ217" s="49"/>
      <c r="AR217" s="49"/>
      <c r="AS217" s="49"/>
      <c r="AT217" s="49"/>
      <c r="DC217" s="49"/>
      <c r="FB217" s="48"/>
      <c r="FC217" s="176"/>
    </row>
    <row r="218" spans="1:159" x14ac:dyDescent="0.25">
      <c r="A218" s="117"/>
      <c r="B218" s="63"/>
      <c r="C218" s="53"/>
      <c r="D218" s="53"/>
      <c r="E218" s="53"/>
      <c r="F218" s="53"/>
      <c r="G218" s="174"/>
      <c r="H218" s="49"/>
      <c r="I218" s="49"/>
      <c r="Y218" s="49"/>
      <c r="AP218" s="49"/>
      <c r="AQ218" s="49"/>
      <c r="AR218" s="49"/>
      <c r="AS218" s="49"/>
      <c r="AT218" s="49"/>
      <c r="DC218" s="49"/>
      <c r="FB218" s="48"/>
      <c r="FC218" s="176"/>
    </row>
    <row r="219" spans="1:159" x14ac:dyDescent="0.25">
      <c r="A219" s="117"/>
      <c r="B219" s="63"/>
      <c r="C219" s="53"/>
      <c r="D219" s="53"/>
      <c r="E219" s="53"/>
      <c r="F219" s="53"/>
      <c r="G219" s="174"/>
      <c r="H219" s="49"/>
      <c r="I219" s="49"/>
      <c r="Y219" s="49"/>
      <c r="AP219" s="49"/>
      <c r="AQ219" s="49"/>
      <c r="AR219" s="49"/>
      <c r="AS219" s="49"/>
      <c r="AT219" s="49"/>
      <c r="DC219" s="49"/>
      <c r="FB219" s="48"/>
      <c r="FC219" s="176"/>
    </row>
    <row r="220" spans="1:159" x14ac:dyDescent="0.25">
      <c r="A220" s="117"/>
      <c r="B220" s="63"/>
      <c r="C220" s="53"/>
      <c r="D220" s="53"/>
      <c r="E220" s="53"/>
      <c r="F220" s="53"/>
      <c r="G220" s="174"/>
      <c r="H220" s="49"/>
      <c r="I220" s="49"/>
      <c r="Y220" s="49"/>
      <c r="AP220" s="49"/>
      <c r="AQ220" s="49"/>
      <c r="AR220" s="49"/>
      <c r="AS220" s="49"/>
      <c r="AT220" s="49"/>
      <c r="DC220" s="49"/>
      <c r="FB220" s="48"/>
      <c r="FC220" s="176"/>
    </row>
    <row r="221" spans="1:159" x14ac:dyDescent="0.25">
      <c r="A221" s="117"/>
      <c r="B221" s="63"/>
      <c r="C221" s="53"/>
      <c r="D221" s="53"/>
      <c r="E221" s="53"/>
      <c r="F221" s="53"/>
      <c r="G221" s="174"/>
      <c r="H221" s="49"/>
      <c r="I221" s="49"/>
      <c r="Y221" s="49"/>
      <c r="AP221" s="49"/>
      <c r="AQ221" s="49"/>
      <c r="AR221" s="49"/>
      <c r="AS221" s="49"/>
      <c r="AT221" s="49"/>
      <c r="DC221" s="49"/>
      <c r="FB221" s="48"/>
      <c r="FC221" s="176"/>
    </row>
    <row r="222" spans="1:159" x14ac:dyDescent="0.25">
      <c r="A222" s="117"/>
      <c r="B222" s="63"/>
      <c r="C222" s="53"/>
      <c r="D222" s="53"/>
      <c r="E222" s="53"/>
      <c r="F222" s="53"/>
      <c r="G222" s="174"/>
      <c r="H222" s="49"/>
      <c r="I222" s="49"/>
      <c r="Y222" s="49"/>
      <c r="AP222" s="49"/>
      <c r="AQ222" s="49"/>
      <c r="AR222" s="49"/>
      <c r="AS222" s="49"/>
      <c r="AT222" s="49"/>
      <c r="DC222" s="49"/>
      <c r="FB222" s="48"/>
      <c r="FC222" s="176"/>
    </row>
    <row r="223" spans="1:159" x14ac:dyDescent="0.25">
      <c r="A223" s="117"/>
      <c r="B223" s="63"/>
      <c r="C223" s="53"/>
      <c r="D223" s="53"/>
      <c r="E223" s="53"/>
      <c r="F223" s="53"/>
      <c r="G223" s="174"/>
      <c r="H223" s="49"/>
      <c r="I223" s="49"/>
      <c r="Y223" s="49"/>
      <c r="AP223" s="49"/>
      <c r="AQ223" s="49"/>
      <c r="AR223" s="49"/>
      <c r="AS223" s="49"/>
      <c r="AT223" s="49"/>
      <c r="DC223" s="49"/>
      <c r="FB223" s="48"/>
      <c r="FC223" s="176"/>
    </row>
    <row r="224" spans="1:159" x14ac:dyDescent="0.25">
      <c r="A224" s="117"/>
      <c r="B224" s="63"/>
      <c r="C224" s="53"/>
      <c r="D224" s="53"/>
      <c r="E224" s="53"/>
      <c r="F224" s="53"/>
      <c r="G224" s="174"/>
      <c r="H224" s="49"/>
      <c r="I224" s="49"/>
      <c r="Y224" s="49"/>
      <c r="AP224" s="49"/>
      <c r="AQ224" s="49"/>
      <c r="AR224" s="49"/>
      <c r="AS224" s="49"/>
      <c r="AT224" s="49"/>
      <c r="DC224" s="49"/>
      <c r="FB224" s="48"/>
      <c r="FC224" s="176"/>
    </row>
    <row r="225" spans="1:159" x14ac:dyDescent="0.25">
      <c r="A225" s="117"/>
      <c r="B225" s="63"/>
      <c r="C225" s="53"/>
      <c r="D225" s="53"/>
      <c r="E225" s="53"/>
      <c r="F225" s="53"/>
      <c r="G225" s="174"/>
      <c r="H225" s="49"/>
      <c r="I225" s="49"/>
      <c r="Y225" s="49"/>
      <c r="AP225" s="49"/>
      <c r="AQ225" s="49"/>
      <c r="AR225" s="49"/>
      <c r="AS225" s="49"/>
      <c r="AT225" s="49"/>
      <c r="DC225" s="49"/>
      <c r="FB225" s="48"/>
      <c r="FC225" s="176"/>
    </row>
    <row r="226" spans="1:159" x14ac:dyDescent="0.25">
      <c r="A226" s="117"/>
      <c r="B226" s="63"/>
      <c r="C226" s="53"/>
      <c r="D226" s="53"/>
      <c r="E226" s="53"/>
      <c r="F226" s="53"/>
      <c r="G226" s="174"/>
      <c r="H226" s="49"/>
      <c r="I226" s="49"/>
      <c r="Y226" s="49"/>
      <c r="AP226" s="49"/>
      <c r="AQ226" s="49"/>
      <c r="AR226" s="49"/>
      <c r="AS226" s="49"/>
      <c r="AT226" s="49"/>
      <c r="DC226" s="49"/>
      <c r="DD226" s="53"/>
      <c r="DE226" s="53"/>
      <c r="DF226" s="53"/>
      <c r="DG226" s="53"/>
      <c r="DH226" s="53"/>
      <c r="DI226" s="53"/>
      <c r="DJ226" s="53"/>
      <c r="DK226" s="53"/>
      <c r="DL226" s="53"/>
      <c r="DM226" s="53"/>
      <c r="DN226" s="53"/>
      <c r="DO226" s="53"/>
      <c r="DP226" s="53"/>
      <c r="DQ226" s="53"/>
      <c r="DR226" s="53"/>
      <c r="DS226" s="53"/>
      <c r="DT226" s="53"/>
      <c r="DU226" s="53"/>
      <c r="DV226" s="53"/>
      <c r="DW226" s="53"/>
      <c r="DX226" s="53"/>
      <c r="DZ226" s="53"/>
      <c r="EA226" s="53"/>
      <c r="EB226" s="53"/>
      <c r="EC226" s="53"/>
      <c r="ED226" s="53"/>
      <c r="EE226" s="53"/>
      <c r="EF226" s="53"/>
      <c r="EG226" s="53"/>
      <c r="EH226" s="53"/>
      <c r="EI226" s="53"/>
      <c r="EJ226" s="53"/>
      <c r="EK226" s="53"/>
      <c r="EL226" s="53"/>
      <c r="EM226" s="53"/>
      <c r="EN226" s="53"/>
      <c r="EO226" s="53"/>
      <c r="EP226" s="53"/>
      <c r="EQ226" s="53"/>
      <c r="ER226" s="53"/>
      <c r="ES226" s="53"/>
      <c r="ET226" s="53"/>
      <c r="EU226" s="53"/>
      <c r="EV226" s="53"/>
      <c r="EW226" s="53"/>
      <c r="EX226" s="53"/>
      <c r="EY226" s="53"/>
      <c r="EZ226" s="53"/>
      <c r="FA226" s="53"/>
      <c r="FB226" s="174"/>
      <c r="FC226" s="176"/>
    </row>
    <row r="227" spans="1:159" x14ac:dyDescent="0.25">
      <c r="A227" s="117"/>
      <c r="B227" s="63"/>
      <c r="C227" s="53"/>
      <c r="D227" s="53"/>
      <c r="E227" s="53"/>
      <c r="F227" s="53"/>
      <c r="G227" s="174"/>
      <c r="H227" s="49"/>
      <c r="I227" s="49"/>
      <c r="Y227" s="49"/>
      <c r="AP227" s="49"/>
      <c r="AQ227" s="49"/>
      <c r="AR227" s="49"/>
      <c r="AS227" s="49"/>
      <c r="AT227" s="49"/>
      <c r="DC227" s="49"/>
      <c r="DD227" s="53"/>
      <c r="DE227" s="53"/>
      <c r="DF227" s="53"/>
      <c r="DG227" s="53"/>
      <c r="DH227" s="53"/>
      <c r="DI227" s="53"/>
      <c r="DJ227" s="53"/>
      <c r="DK227" s="53"/>
      <c r="DL227" s="53"/>
      <c r="DM227" s="53"/>
      <c r="DN227" s="53"/>
      <c r="DO227" s="53"/>
      <c r="DP227" s="53"/>
      <c r="DQ227" s="53"/>
      <c r="DR227" s="53"/>
      <c r="DS227" s="53"/>
      <c r="DT227" s="53"/>
      <c r="DU227" s="53"/>
      <c r="DV227" s="53"/>
      <c r="DW227" s="53"/>
      <c r="DX227" s="53"/>
      <c r="DZ227" s="53"/>
      <c r="EA227" s="53"/>
      <c r="EB227" s="53"/>
      <c r="EC227" s="53"/>
      <c r="ED227" s="53"/>
      <c r="EE227" s="53"/>
      <c r="EF227" s="53"/>
      <c r="EG227" s="53"/>
      <c r="EH227" s="53"/>
      <c r="EI227" s="53"/>
      <c r="EJ227" s="53"/>
      <c r="EK227" s="53"/>
      <c r="EL227" s="53"/>
      <c r="EM227" s="53"/>
      <c r="EN227" s="53"/>
      <c r="EO227" s="53"/>
      <c r="EP227" s="53"/>
      <c r="EQ227" s="53"/>
      <c r="ER227" s="53"/>
      <c r="ES227" s="53"/>
      <c r="ET227" s="53"/>
      <c r="EU227" s="53"/>
      <c r="EV227" s="53"/>
      <c r="EW227" s="53"/>
      <c r="EX227" s="53"/>
      <c r="EY227" s="53"/>
      <c r="EZ227" s="53"/>
      <c r="FA227" s="53"/>
      <c r="FB227" s="174"/>
      <c r="FC227" s="176"/>
    </row>
    <row r="228" spans="1:159" x14ac:dyDescent="0.25">
      <c r="A228" s="117"/>
      <c r="B228" s="63"/>
      <c r="C228" s="53"/>
      <c r="D228" s="53"/>
      <c r="E228" s="53"/>
      <c r="F228" s="53"/>
      <c r="G228" s="174"/>
      <c r="H228" s="49"/>
      <c r="I228" s="49"/>
      <c r="Y228" s="49"/>
      <c r="AP228" s="49"/>
      <c r="AQ228" s="49"/>
      <c r="AR228" s="49"/>
      <c r="AS228" s="49"/>
      <c r="AT228" s="49"/>
      <c r="DC228" s="49"/>
      <c r="DD228" s="53"/>
      <c r="DE228" s="53"/>
      <c r="DF228" s="53"/>
      <c r="DG228" s="53"/>
      <c r="DH228" s="53"/>
      <c r="DI228" s="53"/>
      <c r="DJ228" s="53"/>
      <c r="DK228" s="53"/>
      <c r="DL228" s="53"/>
      <c r="DM228" s="53"/>
      <c r="DN228" s="53"/>
      <c r="DO228" s="53"/>
      <c r="DP228" s="53"/>
      <c r="DQ228" s="53"/>
      <c r="DR228" s="53"/>
      <c r="DS228" s="53"/>
      <c r="DT228" s="53"/>
      <c r="DU228" s="53"/>
      <c r="DV228" s="53"/>
      <c r="DW228" s="53"/>
      <c r="DX228" s="53"/>
      <c r="DZ228" s="53"/>
      <c r="EA228" s="53"/>
      <c r="EB228" s="53"/>
      <c r="EC228" s="53"/>
      <c r="ED228" s="53"/>
      <c r="EE228" s="53"/>
      <c r="EF228" s="53"/>
      <c r="EG228" s="53"/>
      <c r="EH228" s="53"/>
      <c r="EI228" s="53"/>
      <c r="EJ228" s="53"/>
      <c r="EK228" s="53"/>
      <c r="EL228" s="53"/>
      <c r="EM228" s="53"/>
      <c r="EN228" s="53"/>
      <c r="EO228" s="53"/>
      <c r="EP228" s="53"/>
      <c r="EQ228" s="53"/>
      <c r="ER228" s="53"/>
      <c r="ES228" s="53"/>
      <c r="ET228" s="53"/>
      <c r="EU228" s="53"/>
      <c r="EV228" s="53"/>
      <c r="EW228" s="53"/>
      <c r="EX228" s="53"/>
      <c r="EY228" s="53"/>
      <c r="EZ228" s="53"/>
      <c r="FA228" s="53"/>
      <c r="FB228" s="174"/>
      <c r="FC228" s="176"/>
    </row>
    <row r="229" spans="1:159" x14ac:dyDescent="0.25">
      <c r="A229" s="117"/>
      <c r="B229" s="63"/>
      <c r="C229" s="53"/>
      <c r="D229" s="53"/>
      <c r="E229" s="53"/>
      <c r="F229" s="53"/>
      <c r="G229" s="174"/>
      <c r="H229" s="49"/>
      <c r="I229" s="49"/>
      <c r="Y229" s="49"/>
      <c r="AP229" s="49"/>
      <c r="AQ229" s="49"/>
      <c r="AR229" s="49"/>
      <c r="AS229" s="49"/>
      <c r="AT229" s="49"/>
      <c r="DC229" s="49"/>
      <c r="DD229" s="53"/>
      <c r="DE229" s="53"/>
      <c r="DF229" s="53"/>
      <c r="DG229" s="53"/>
      <c r="DH229" s="53"/>
      <c r="DI229" s="53"/>
      <c r="DJ229" s="53"/>
      <c r="DK229" s="53"/>
      <c r="DL229" s="53"/>
      <c r="DM229" s="53"/>
      <c r="DN229" s="53"/>
      <c r="DO229" s="53"/>
      <c r="DP229" s="53"/>
      <c r="DQ229" s="53"/>
      <c r="DR229" s="53"/>
      <c r="DS229" s="53"/>
      <c r="DT229" s="53"/>
      <c r="DU229" s="53"/>
      <c r="DV229" s="53"/>
      <c r="DW229" s="53"/>
      <c r="DX229" s="53"/>
      <c r="DZ229" s="53"/>
      <c r="EA229" s="53"/>
      <c r="EB229" s="53"/>
      <c r="EC229" s="53"/>
      <c r="ED229" s="53"/>
      <c r="EE229" s="53"/>
      <c r="EF229" s="53"/>
      <c r="EG229" s="53"/>
      <c r="EH229" s="53"/>
      <c r="EI229" s="53"/>
      <c r="EJ229" s="53"/>
      <c r="EK229" s="53"/>
      <c r="EL229" s="53"/>
      <c r="EM229" s="53"/>
      <c r="EN229" s="53"/>
      <c r="EO229" s="53"/>
      <c r="EP229" s="53"/>
      <c r="EQ229" s="53"/>
      <c r="ER229" s="53"/>
      <c r="ES229" s="53"/>
      <c r="ET229" s="53"/>
      <c r="EU229" s="53"/>
      <c r="EV229" s="53"/>
      <c r="EW229" s="53"/>
      <c r="EX229" s="53"/>
      <c r="EY229" s="53"/>
      <c r="EZ229" s="53"/>
      <c r="FA229" s="53"/>
      <c r="FB229" s="174"/>
      <c r="FC229" s="176"/>
    </row>
    <row r="230" spans="1:159" x14ac:dyDescent="0.25">
      <c r="A230" s="117"/>
      <c r="B230" s="63"/>
      <c r="C230" s="53"/>
      <c r="D230" s="53"/>
      <c r="E230" s="53"/>
      <c r="F230" s="53"/>
      <c r="G230" s="174"/>
      <c r="H230" s="49"/>
      <c r="I230" s="49"/>
      <c r="Y230" s="49"/>
      <c r="AP230" s="49"/>
      <c r="AQ230" s="49"/>
      <c r="AR230" s="49"/>
      <c r="AS230" s="49"/>
      <c r="AT230" s="49"/>
      <c r="DC230" s="49"/>
      <c r="DD230" s="53"/>
      <c r="DE230" s="53"/>
      <c r="DF230" s="53"/>
      <c r="DG230" s="53"/>
      <c r="DH230" s="53"/>
      <c r="DI230" s="53"/>
      <c r="DJ230" s="53"/>
      <c r="DK230" s="53"/>
      <c r="DL230" s="53"/>
      <c r="DM230" s="53"/>
      <c r="DN230" s="53"/>
      <c r="DO230" s="53"/>
      <c r="DP230" s="53"/>
      <c r="DQ230" s="53"/>
      <c r="DR230" s="53"/>
      <c r="DS230" s="53"/>
      <c r="DT230" s="53"/>
      <c r="DU230" s="53"/>
      <c r="DV230" s="53"/>
      <c r="DW230" s="53"/>
      <c r="DX230" s="53"/>
      <c r="DZ230" s="53"/>
      <c r="EA230" s="53"/>
      <c r="EB230" s="53"/>
      <c r="EC230" s="53"/>
      <c r="ED230" s="53"/>
      <c r="EE230" s="53"/>
      <c r="EF230" s="53"/>
      <c r="EG230" s="53"/>
      <c r="EH230" s="53"/>
      <c r="EI230" s="53"/>
      <c r="EJ230" s="53"/>
      <c r="EK230" s="53"/>
      <c r="EL230" s="53"/>
      <c r="EM230" s="53"/>
      <c r="EN230" s="53"/>
      <c r="EO230" s="53"/>
      <c r="EP230" s="53"/>
      <c r="EQ230" s="53"/>
      <c r="ER230" s="53"/>
      <c r="ES230" s="53"/>
      <c r="ET230" s="53"/>
      <c r="EU230" s="53"/>
      <c r="EV230" s="53"/>
      <c r="EW230" s="53"/>
      <c r="EX230" s="53"/>
      <c r="EY230" s="53"/>
      <c r="EZ230" s="53"/>
      <c r="FA230" s="53"/>
      <c r="FB230" s="174"/>
      <c r="FC230" s="176"/>
    </row>
    <row r="231" spans="1:159" x14ac:dyDescent="0.25">
      <c r="A231" s="117"/>
      <c r="B231" s="63"/>
      <c r="C231" s="53"/>
      <c r="D231" s="53"/>
      <c r="E231" s="53"/>
      <c r="F231" s="53"/>
      <c r="G231" s="174"/>
      <c r="H231" s="49"/>
      <c r="I231" s="49"/>
      <c r="Y231" s="49"/>
      <c r="AP231" s="49"/>
      <c r="AQ231" s="49"/>
      <c r="AR231" s="49"/>
      <c r="AS231" s="49"/>
      <c r="AT231" s="49"/>
      <c r="DC231" s="49"/>
      <c r="DD231" s="53"/>
      <c r="DE231" s="53"/>
      <c r="DF231" s="53"/>
      <c r="DG231" s="53"/>
      <c r="DH231" s="53"/>
      <c r="DI231" s="53"/>
      <c r="DJ231" s="53"/>
      <c r="DK231" s="53"/>
      <c r="DL231" s="53"/>
      <c r="DM231" s="53"/>
      <c r="DN231" s="53"/>
      <c r="DO231" s="53"/>
      <c r="DP231" s="53"/>
      <c r="DQ231" s="53"/>
      <c r="DR231" s="53"/>
      <c r="DS231" s="53"/>
      <c r="DT231" s="53"/>
      <c r="DU231" s="53"/>
      <c r="DV231" s="53"/>
      <c r="DW231" s="53"/>
      <c r="DX231" s="53"/>
      <c r="DZ231" s="53"/>
      <c r="EA231" s="53"/>
      <c r="EB231" s="53"/>
      <c r="EC231" s="53"/>
      <c r="ED231" s="53"/>
      <c r="EE231" s="53"/>
      <c r="EF231" s="53"/>
      <c r="EG231" s="53"/>
      <c r="EH231" s="53"/>
      <c r="EI231" s="53"/>
      <c r="EJ231" s="53"/>
      <c r="EK231" s="53"/>
      <c r="EL231" s="53"/>
      <c r="EM231" s="53"/>
      <c r="EN231" s="53"/>
      <c r="EO231" s="53"/>
      <c r="EP231" s="53"/>
      <c r="EQ231" s="53"/>
      <c r="ER231" s="53"/>
      <c r="ES231" s="53"/>
      <c r="ET231" s="53"/>
      <c r="EU231" s="53"/>
      <c r="EV231" s="53"/>
      <c r="EW231" s="53"/>
      <c r="EX231" s="53"/>
      <c r="EY231" s="53"/>
      <c r="EZ231" s="53"/>
      <c r="FA231" s="53"/>
      <c r="FB231" s="174"/>
      <c r="FC231" s="176"/>
    </row>
    <row r="232" spans="1:159" x14ac:dyDescent="0.25">
      <c r="A232" s="117"/>
      <c r="B232" s="63"/>
      <c r="C232" s="53"/>
      <c r="D232" s="53"/>
      <c r="E232" s="53"/>
      <c r="F232" s="53"/>
      <c r="G232" s="174"/>
      <c r="H232" s="49"/>
      <c r="I232" s="49"/>
      <c r="Y232" s="49"/>
      <c r="AP232" s="49"/>
      <c r="AQ232" s="49"/>
      <c r="AR232" s="49"/>
      <c r="AS232" s="49"/>
      <c r="AT232" s="49"/>
      <c r="DC232" s="49"/>
      <c r="DD232" s="53"/>
      <c r="DE232" s="53"/>
      <c r="DF232" s="53"/>
      <c r="DG232" s="53"/>
      <c r="DH232" s="53"/>
      <c r="DI232" s="53"/>
      <c r="DJ232" s="53"/>
      <c r="DK232" s="53"/>
      <c r="DL232" s="53"/>
      <c r="DM232" s="53"/>
      <c r="DN232" s="53"/>
      <c r="DO232" s="53"/>
      <c r="DP232" s="53"/>
      <c r="DQ232" s="53"/>
      <c r="DR232" s="53"/>
      <c r="DS232" s="53"/>
      <c r="DT232" s="53"/>
      <c r="DU232" s="53"/>
      <c r="DV232" s="53"/>
      <c r="DW232" s="53"/>
      <c r="DX232" s="53"/>
      <c r="DZ232" s="53"/>
      <c r="EA232" s="53"/>
      <c r="EB232" s="53"/>
      <c r="EC232" s="53"/>
      <c r="ED232" s="53"/>
      <c r="EE232" s="53"/>
      <c r="EF232" s="53"/>
      <c r="EG232" s="53"/>
      <c r="EH232" s="53"/>
      <c r="EI232" s="53"/>
      <c r="EJ232" s="53"/>
      <c r="EK232" s="53"/>
      <c r="EL232" s="53"/>
      <c r="EM232" s="53"/>
      <c r="EN232" s="53"/>
      <c r="EO232" s="53"/>
      <c r="EP232" s="53"/>
      <c r="EQ232" s="53"/>
      <c r="ER232" s="53"/>
      <c r="ES232" s="53"/>
      <c r="ET232" s="53"/>
      <c r="EU232" s="53"/>
      <c r="EV232" s="53"/>
      <c r="EW232" s="53"/>
      <c r="EX232" s="53"/>
      <c r="EY232" s="53"/>
      <c r="EZ232" s="53"/>
      <c r="FA232" s="53"/>
      <c r="FB232" s="174"/>
      <c r="FC232" s="176"/>
    </row>
    <row r="233" spans="1:159" x14ac:dyDescent="0.25">
      <c r="A233" s="117"/>
      <c r="B233" s="63"/>
      <c r="C233" s="53"/>
      <c r="D233" s="53"/>
      <c r="E233" s="53"/>
      <c r="F233" s="53"/>
      <c r="G233" s="174"/>
      <c r="H233" s="49"/>
      <c r="I233" s="49"/>
      <c r="Y233" s="49"/>
      <c r="AP233" s="49"/>
      <c r="AQ233" s="49"/>
      <c r="AR233" s="49"/>
      <c r="AS233" s="49"/>
      <c r="AT233" s="49"/>
      <c r="DC233" s="49"/>
      <c r="DD233" s="53"/>
      <c r="DE233" s="53"/>
      <c r="DF233" s="53"/>
      <c r="DG233" s="53"/>
      <c r="DH233" s="53"/>
      <c r="DI233" s="53"/>
      <c r="DJ233" s="53"/>
      <c r="DK233" s="53"/>
      <c r="DL233" s="53"/>
      <c r="DM233" s="53"/>
      <c r="DN233" s="53"/>
      <c r="DO233" s="53"/>
      <c r="DP233" s="53"/>
      <c r="DQ233" s="53"/>
      <c r="DR233" s="53"/>
      <c r="DS233" s="53"/>
      <c r="DT233" s="53"/>
      <c r="DU233" s="53"/>
      <c r="DV233" s="53"/>
      <c r="DW233" s="53"/>
      <c r="DX233" s="53"/>
      <c r="DZ233" s="53"/>
      <c r="EA233" s="53"/>
      <c r="EB233" s="53"/>
      <c r="EC233" s="53"/>
      <c r="ED233" s="53"/>
      <c r="EE233" s="53"/>
      <c r="EF233" s="53"/>
      <c r="EG233" s="53"/>
      <c r="EH233" s="53"/>
      <c r="EI233" s="53"/>
      <c r="EJ233" s="53"/>
      <c r="EK233" s="53"/>
      <c r="EL233" s="53"/>
      <c r="EM233" s="53"/>
      <c r="EN233" s="53"/>
      <c r="EO233" s="53"/>
      <c r="EP233" s="53"/>
      <c r="EQ233" s="53"/>
      <c r="ER233" s="53"/>
      <c r="ES233" s="53"/>
      <c r="ET233" s="53"/>
      <c r="EU233" s="53"/>
      <c r="EV233" s="53"/>
      <c r="EW233" s="53"/>
      <c r="EX233" s="53"/>
      <c r="EY233" s="53"/>
      <c r="EZ233" s="53"/>
      <c r="FA233" s="53"/>
      <c r="FB233" s="174"/>
      <c r="FC233" s="176"/>
    </row>
    <row r="234" spans="1:159" x14ac:dyDescent="0.25">
      <c r="A234" s="117"/>
      <c r="B234" s="63"/>
      <c r="C234" s="53"/>
      <c r="D234" s="53"/>
      <c r="E234" s="53"/>
      <c r="F234" s="53"/>
      <c r="G234" s="174"/>
      <c r="H234" s="49"/>
      <c r="I234" s="49"/>
      <c r="Y234" s="49"/>
      <c r="AP234" s="49"/>
      <c r="AQ234" s="49"/>
      <c r="AR234" s="49"/>
      <c r="AS234" s="49"/>
      <c r="AT234" s="49"/>
      <c r="DC234" s="49"/>
      <c r="DD234" s="53"/>
      <c r="DE234" s="53"/>
      <c r="DF234" s="53"/>
      <c r="DG234" s="53"/>
      <c r="DH234" s="53"/>
      <c r="DI234" s="53"/>
      <c r="DJ234" s="53"/>
      <c r="DK234" s="53"/>
      <c r="DL234" s="53"/>
      <c r="DM234" s="53"/>
      <c r="DN234" s="53"/>
      <c r="DO234" s="53"/>
      <c r="DP234" s="53"/>
      <c r="DQ234" s="53"/>
      <c r="DR234" s="53"/>
      <c r="DS234" s="53"/>
      <c r="DT234" s="53"/>
      <c r="DU234" s="53"/>
      <c r="DV234" s="53"/>
      <c r="DW234" s="53"/>
      <c r="DX234" s="53"/>
      <c r="DZ234" s="53"/>
      <c r="EA234" s="53"/>
      <c r="EB234" s="53"/>
      <c r="EC234" s="53"/>
      <c r="ED234" s="53"/>
      <c r="EE234" s="53"/>
      <c r="EF234" s="53"/>
      <c r="EG234" s="53"/>
      <c r="EH234" s="53"/>
      <c r="EI234" s="53"/>
      <c r="EJ234" s="53"/>
      <c r="EK234" s="53"/>
      <c r="EL234" s="53"/>
      <c r="EM234" s="53"/>
      <c r="EN234" s="53"/>
      <c r="EO234" s="53"/>
      <c r="EP234" s="53"/>
      <c r="EQ234" s="53"/>
      <c r="ER234" s="53"/>
      <c r="ES234" s="53"/>
      <c r="ET234" s="53"/>
      <c r="EU234" s="53"/>
      <c r="EV234" s="53"/>
      <c r="EW234" s="53"/>
      <c r="EX234" s="53"/>
      <c r="EY234" s="53"/>
      <c r="EZ234" s="53"/>
      <c r="FA234" s="53"/>
      <c r="FB234" s="174"/>
      <c r="FC234" s="176"/>
    </row>
    <row r="235" spans="1:159" x14ac:dyDescent="0.25">
      <c r="A235" s="117"/>
      <c r="B235" s="62"/>
      <c r="C235" s="53"/>
      <c r="D235" s="53"/>
      <c r="E235" s="53"/>
      <c r="F235" s="53"/>
      <c r="G235" s="174"/>
      <c r="H235" s="49"/>
      <c r="I235" s="49"/>
      <c r="Y235" s="49"/>
      <c r="AP235" s="49"/>
      <c r="AQ235" s="49"/>
      <c r="AR235" s="49"/>
      <c r="AS235" s="49"/>
      <c r="AT235" s="49"/>
      <c r="DC235" s="49"/>
      <c r="DD235" s="53"/>
      <c r="DE235" s="53"/>
      <c r="DF235" s="53"/>
      <c r="DG235" s="53"/>
      <c r="DH235" s="53"/>
      <c r="DI235" s="53"/>
      <c r="DJ235" s="53"/>
      <c r="DK235" s="53"/>
      <c r="DL235" s="53"/>
      <c r="DM235" s="53"/>
      <c r="DN235" s="53"/>
      <c r="DO235" s="53"/>
      <c r="DP235" s="53"/>
      <c r="DQ235" s="53"/>
      <c r="DR235" s="53"/>
      <c r="DS235" s="53"/>
      <c r="DT235" s="53"/>
      <c r="DU235" s="53"/>
      <c r="DV235" s="53"/>
      <c r="DW235" s="53"/>
      <c r="DX235" s="53"/>
      <c r="DZ235" s="53"/>
      <c r="EA235" s="53"/>
      <c r="EB235" s="53"/>
      <c r="EC235" s="53"/>
      <c r="ED235" s="53"/>
      <c r="EE235" s="53"/>
      <c r="EF235" s="53"/>
      <c r="EG235" s="53"/>
      <c r="EH235" s="53"/>
      <c r="EI235" s="53"/>
      <c r="EJ235" s="53"/>
      <c r="EK235" s="53"/>
      <c r="EL235" s="53"/>
      <c r="EM235" s="53"/>
      <c r="EN235" s="53"/>
      <c r="EO235" s="53"/>
      <c r="EP235" s="53"/>
      <c r="EQ235" s="53"/>
      <c r="ER235" s="53"/>
      <c r="ES235" s="53"/>
      <c r="ET235" s="53"/>
      <c r="EU235" s="53"/>
      <c r="EV235" s="53"/>
      <c r="EW235" s="53"/>
      <c r="EX235" s="53"/>
      <c r="EY235" s="53"/>
      <c r="EZ235" s="53"/>
      <c r="FA235" s="53"/>
      <c r="FB235" s="174"/>
      <c r="FC235" s="176"/>
    </row>
    <row r="236" spans="1:159" x14ac:dyDescent="0.25">
      <c r="A236" s="117"/>
      <c r="B236" s="62"/>
      <c r="C236" s="53"/>
      <c r="D236" s="53"/>
      <c r="E236" s="53"/>
      <c r="F236" s="53"/>
      <c r="G236" s="174"/>
      <c r="H236" s="49"/>
      <c r="I236" s="49"/>
      <c r="Y236" s="49"/>
      <c r="AP236" s="49"/>
      <c r="AQ236" s="49"/>
      <c r="AR236" s="49"/>
      <c r="AS236" s="49"/>
      <c r="AT236" s="49"/>
      <c r="DC236" s="49"/>
      <c r="DD236" s="53"/>
      <c r="DE236" s="53"/>
      <c r="DF236" s="53"/>
      <c r="DG236" s="53"/>
      <c r="DH236" s="53"/>
      <c r="DI236" s="53"/>
      <c r="DJ236" s="53"/>
      <c r="DK236" s="53"/>
      <c r="DL236" s="53"/>
      <c r="DM236" s="53"/>
      <c r="DN236" s="53"/>
      <c r="DO236" s="53"/>
      <c r="DP236" s="53"/>
      <c r="DQ236" s="53"/>
      <c r="DR236" s="53"/>
      <c r="DS236" s="53"/>
      <c r="DT236" s="53"/>
      <c r="DU236" s="53"/>
      <c r="DV236" s="53"/>
      <c r="DW236" s="53"/>
      <c r="DX236" s="53"/>
      <c r="DZ236" s="53"/>
      <c r="EA236" s="53"/>
      <c r="EB236" s="53"/>
      <c r="EC236" s="53"/>
      <c r="ED236" s="53"/>
      <c r="EE236" s="53"/>
      <c r="EF236" s="53"/>
      <c r="EG236" s="53"/>
      <c r="EH236" s="53"/>
      <c r="EI236" s="53"/>
      <c r="EJ236" s="53"/>
      <c r="EK236" s="53"/>
      <c r="EL236" s="53"/>
      <c r="EM236" s="53"/>
      <c r="EN236" s="53"/>
      <c r="EO236" s="53"/>
      <c r="EP236" s="53"/>
      <c r="EQ236" s="53"/>
      <c r="ER236" s="53"/>
      <c r="ES236" s="53"/>
      <c r="ET236" s="53"/>
      <c r="EU236" s="53"/>
      <c r="EV236" s="53"/>
      <c r="EW236" s="53"/>
      <c r="EX236" s="53"/>
      <c r="EY236" s="53"/>
      <c r="EZ236" s="53"/>
      <c r="FA236" s="53"/>
      <c r="FB236" s="174"/>
      <c r="FC236" s="176"/>
    </row>
    <row r="237" spans="1:159" x14ac:dyDescent="0.25">
      <c r="A237" s="117"/>
      <c r="B237" s="62"/>
      <c r="C237" s="53"/>
      <c r="D237" s="53"/>
      <c r="E237" s="53"/>
      <c r="F237" s="53"/>
      <c r="G237" s="174"/>
      <c r="H237" s="49"/>
      <c r="I237" s="49"/>
      <c r="Y237" s="49"/>
      <c r="AP237" s="49"/>
      <c r="AQ237" s="49"/>
      <c r="AR237" s="49"/>
      <c r="AS237" s="49"/>
      <c r="AT237" s="49"/>
      <c r="DC237" s="49"/>
      <c r="DD237" s="53"/>
      <c r="DE237" s="53"/>
      <c r="DF237" s="53"/>
      <c r="DG237" s="53"/>
      <c r="DH237" s="53"/>
      <c r="DI237" s="53"/>
      <c r="DJ237" s="53"/>
      <c r="DK237" s="53"/>
      <c r="DL237" s="53"/>
      <c r="DM237" s="53"/>
      <c r="DN237" s="53"/>
      <c r="DO237" s="53"/>
      <c r="DP237" s="53"/>
      <c r="DQ237" s="53"/>
      <c r="DR237" s="53"/>
      <c r="DS237" s="53"/>
      <c r="DT237" s="53"/>
      <c r="DU237" s="53"/>
      <c r="DV237" s="53"/>
      <c r="DW237" s="53"/>
      <c r="DX237" s="53"/>
      <c r="DZ237" s="53"/>
      <c r="EA237" s="53"/>
      <c r="EB237" s="53"/>
      <c r="EC237" s="53"/>
      <c r="ED237" s="53"/>
      <c r="EE237" s="53"/>
      <c r="EF237" s="53"/>
      <c r="EG237" s="53"/>
      <c r="EH237" s="53"/>
      <c r="EI237" s="53"/>
      <c r="EJ237" s="53"/>
      <c r="EK237" s="53"/>
      <c r="EL237" s="53"/>
      <c r="EM237" s="53"/>
      <c r="EN237" s="53"/>
      <c r="EO237" s="53"/>
      <c r="EP237" s="53"/>
      <c r="EQ237" s="53"/>
      <c r="ER237" s="53"/>
      <c r="ES237" s="53"/>
      <c r="ET237" s="53"/>
      <c r="EU237" s="53"/>
      <c r="EV237" s="53"/>
      <c r="EW237" s="53"/>
      <c r="EX237" s="53"/>
      <c r="EY237" s="53"/>
      <c r="EZ237" s="53"/>
      <c r="FA237" s="53"/>
      <c r="FB237" s="174"/>
      <c r="FC237" s="62"/>
    </row>
    <row r="238" spans="1:159" x14ac:dyDescent="0.25">
      <c r="A238" s="117"/>
      <c r="B238" s="62"/>
      <c r="C238" s="53"/>
      <c r="D238" s="53"/>
      <c r="E238" s="53"/>
      <c r="F238" s="53"/>
      <c r="G238" s="174"/>
      <c r="H238" s="49"/>
      <c r="I238" s="49"/>
      <c r="Y238" s="49"/>
      <c r="AP238" s="49"/>
      <c r="AQ238" s="49"/>
      <c r="AR238" s="49"/>
      <c r="AS238" s="49"/>
      <c r="AT238" s="49"/>
      <c r="DC238" s="49"/>
      <c r="DD238" s="53"/>
      <c r="DE238" s="53"/>
      <c r="DF238" s="53"/>
      <c r="DG238" s="53"/>
      <c r="DH238" s="53"/>
      <c r="DI238" s="53"/>
      <c r="DJ238" s="53"/>
      <c r="DK238" s="53"/>
      <c r="DL238" s="53"/>
      <c r="DM238" s="53"/>
      <c r="DN238" s="53"/>
      <c r="DO238" s="53"/>
      <c r="DP238" s="53"/>
      <c r="DQ238" s="53"/>
      <c r="DR238" s="53"/>
      <c r="DS238" s="53"/>
      <c r="DT238" s="53"/>
      <c r="DU238" s="53"/>
      <c r="DV238" s="53"/>
      <c r="DW238" s="53"/>
      <c r="DX238" s="53"/>
      <c r="DZ238" s="53"/>
      <c r="EA238" s="53"/>
      <c r="EB238" s="53"/>
      <c r="EC238" s="53"/>
      <c r="ED238" s="53"/>
      <c r="EE238" s="53"/>
      <c r="EF238" s="53"/>
      <c r="EG238" s="53"/>
      <c r="EH238" s="53"/>
      <c r="EI238" s="53"/>
      <c r="EJ238" s="53"/>
      <c r="EK238" s="53"/>
      <c r="EL238" s="53"/>
      <c r="EM238" s="53"/>
      <c r="EN238" s="53"/>
      <c r="EO238" s="53"/>
      <c r="EP238" s="53"/>
      <c r="EQ238" s="53"/>
      <c r="ER238" s="53"/>
      <c r="ES238" s="53"/>
      <c r="ET238" s="53"/>
      <c r="EU238" s="53"/>
      <c r="EV238" s="53"/>
      <c r="EW238" s="53"/>
      <c r="EX238" s="53"/>
      <c r="EY238" s="53"/>
      <c r="EZ238" s="53"/>
      <c r="FA238" s="53"/>
      <c r="FB238" s="174"/>
      <c r="FC238" s="62"/>
    </row>
    <row r="239" spans="1:159" x14ac:dyDescent="0.25">
      <c r="A239" s="117"/>
      <c r="B239" s="53"/>
      <c r="C239" s="53"/>
      <c r="D239" s="53"/>
      <c r="E239" s="53"/>
      <c r="F239" s="53"/>
      <c r="G239" s="174"/>
      <c r="Y239" s="49"/>
      <c r="AP239" s="49"/>
      <c r="AQ239" s="49"/>
      <c r="AR239" s="49"/>
      <c r="AS239" s="49"/>
      <c r="AT239" s="49"/>
      <c r="DC239" s="49"/>
      <c r="DD239" s="53"/>
      <c r="DE239" s="53"/>
      <c r="DF239" s="53"/>
      <c r="DG239" s="53"/>
      <c r="DH239" s="53"/>
      <c r="DI239" s="53"/>
      <c r="DJ239" s="53"/>
      <c r="DK239" s="53"/>
      <c r="DL239" s="53"/>
      <c r="DM239" s="53"/>
      <c r="DN239" s="53"/>
      <c r="DO239" s="53"/>
      <c r="DP239" s="53"/>
      <c r="DQ239" s="53"/>
      <c r="DR239" s="53"/>
      <c r="DS239" s="53"/>
      <c r="DT239" s="53"/>
      <c r="DU239" s="53"/>
      <c r="DV239" s="53"/>
      <c r="DW239" s="53"/>
      <c r="DX239" s="53"/>
      <c r="DZ239" s="53"/>
      <c r="EA239" s="53"/>
      <c r="EB239" s="53"/>
      <c r="EC239" s="53"/>
      <c r="ED239" s="53"/>
      <c r="EE239" s="53"/>
      <c r="EF239" s="53"/>
      <c r="EG239" s="53"/>
      <c r="EH239" s="53"/>
      <c r="EI239" s="53"/>
      <c r="EJ239" s="53"/>
      <c r="EK239" s="53"/>
      <c r="EL239" s="53"/>
      <c r="EM239" s="53"/>
      <c r="EN239" s="53"/>
      <c r="EO239" s="53"/>
      <c r="EP239" s="53"/>
      <c r="EQ239" s="53"/>
      <c r="ER239" s="53"/>
      <c r="ES239" s="53"/>
      <c r="ET239" s="53"/>
      <c r="EU239" s="53"/>
      <c r="EV239" s="53"/>
      <c r="EW239" s="53"/>
      <c r="EX239" s="53"/>
      <c r="EY239" s="53"/>
      <c r="EZ239" s="53"/>
      <c r="FA239" s="53"/>
      <c r="FB239" s="53"/>
      <c r="FC239" s="53"/>
    </row>
    <row r="240" spans="1:159" x14ac:dyDescent="0.25">
      <c r="A240" s="117"/>
      <c r="B240" s="53"/>
      <c r="C240" s="53"/>
      <c r="D240" s="53"/>
      <c r="E240" s="53"/>
      <c r="F240" s="53"/>
      <c r="G240" s="174"/>
      <c r="Y240" s="49"/>
      <c r="AP240" s="49"/>
      <c r="AQ240" s="49"/>
      <c r="AR240" s="49"/>
      <c r="AS240" s="49"/>
      <c r="AT240" s="49"/>
      <c r="DC240" s="49"/>
      <c r="DD240" s="53"/>
      <c r="DE240" s="53"/>
      <c r="DF240" s="53"/>
      <c r="DG240" s="53"/>
      <c r="DH240" s="53"/>
      <c r="DI240" s="53"/>
      <c r="DJ240" s="53"/>
      <c r="DK240" s="53"/>
      <c r="DL240" s="53"/>
      <c r="DM240" s="53"/>
      <c r="DN240" s="53"/>
      <c r="DO240" s="53"/>
      <c r="DP240" s="53"/>
      <c r="DQ240" s="53"/>
      <c r="DR240" s="53"/>
      <c r="DS240" s="53"/>
      <c r="DT240" s="53"/>
      <c r="DU240" s="53"/>
      <c r="DV240" s="53"/>
      <c r="DW240" s="53"/>
      <c r="DX240" s="53"/>
      <c r="DZ240" s="53"/>
      <c r="EA240" s="53"/>
      <c r="EB240" s="53"/>
      <c r="EC240" s="53"/>
      <c r="ED240" s="53"/>
      <c r="EE240" s="53"/>
      <c r="EF240" s="53"/>
      <c r="EG240" s="53"/>
      <c r="EH240" s="53"/>
      <c r="EI240" s="53"/>
      <c r="EJ240" s="53"/>
      <c r="EK240" s="53"/>
      <c r="EL240" s="53"/>
      <c r="EM240" s="53"/>
      <c r="EN240" s="53"/>
      <c r="EO240" s="53"/>
      <c r="EP240" s="53"/>
      <c r="EQ240" s="53"/>
      <c r="ER240" s="53"/>
      <c r="ES240" s="53"/>
      <c r="ET240" s="53"/>
      <c r="EU240" s="53"/>
      <c r="EV240" s="53"/>
      <c r="EW240" s="53"/>
      <c r="EX240" s="53"/>
      <c r="EY240" s="53"/>
      <c r="EZ240" s="53"/>
      <c r="FA240" s="53"/>
      <c r="FB240" s="53"/>
      <c r="FC240" s="53"/>
    </row>
    <row r="241" spans="1:159" x14ac:dyDescent="0.25">
      <c r="A241" s="117"/>
      <c r="B241" s="53"/>
      <c r="C241" s="53"/>
      <c r="D241" s="53"/>
      <c r="E241" s="53"/>
      <c r="F241" s="53"/>
      <c r="G241" s="174"/>
      <c r="Y241" s="49"/>
      <c r="AP241" s="49"/>
      <c r="AQ241" s="49"/>
      <c r="AR241" s="49"/>
      <c r="AS241" s="49"/>
      <c r="AT241" s="49"/>
      <c r="DD241" s="53"/>
      <c r="DE241" s="53"/>
      <c r="DF241" s="53"/>
      <c r="DG241" s="53"/>
      <c r="DH241" s="53"/>
      <c r="DI241" s="53"/>
      <c r="DJ241" s="53"/>
      <c r="DK241" s="53"/>
      <c r="DL241" s="53"/>
      <c r="DM241" s="53"/>
      <c r="DN241" s="53"/>
      <c r="DO241" s="53"/>
      <c r="DP241" s="53"/>
      <c r="DQ241" s="53"/>
      <c r="DR241" s="53"/>
      <c r="DS241" s="53"/>
      <c r="DT241" s="53"/>
      <c r="DU241" s="53"/>
      <c r="DV241" s="53"/>
      <c r="DW241" s="53"/>
      <c r="DX241" s="53"/>
      <c r="DZ241" s="53"/>
      <c r="EA241" s="53"/>
      <c r="EB241" s="53"/>
      <c r="EC241" s="53"/>
      <c r="ED241" s="53"/>
      <c r="EE241" s="53"/>
      <c r="EF241" s="53"/>
      <c r="EG241" s="53"/>
      <c r="EH241" s="53"/>
      <c r="EI241" s="53"/>
      <c r="EJ241" s="53"/>
      <c r="EK241" s="53"/>
      <c r="EL241" s="53"/>
      <c r="EM241" s="53"/>
      <c r="EN241" s="53"/>
      <c r="EO241" s="53"/>
      <c r="EP241" s="53"/>
      <c r="EQ241" s="53"/>
      <c r="ER241" s="53"/>
      <c r="ES241" s="53"/>
      <c r="ET241" s="53"/>
      <c r="EU241" s="53"/>
      <c r="EV241" s="53"/>
      <c r="EW241" s="53"/>
      <c r="EX241" s="53"/>
      <c r="EY241" s="53"/>
      <c r="EZ241" s="53"/>
      <c r="FA241" s="53"/>
      <c r="FB241" s="53"/>
      <c r="FC241" s="53"/>
    </row>
    <row r="242" spans="1:159" x14ac:dyDescent="0.25">
      <c r="A242" s="117"/>
      <c r="B242" s="53"/>
      <c r="C242" s="53"/>
      <c r="D242" s="53"/>
      <c r="E242" s="53"/>
      <c r="F242" s="53"/>
      <c r="G242" s="174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64"/>
      <c r="Z242" s="53"/>
      <c r="AA242" s="53"/>
      <c r="AB242" s="53"/>
      <c r="AC242" s="53"/>
      <c r="AD242" s="53"/>
      <c r="AE242" s="53"/>
      <c r="AF242" s="53"/>
      <c r="AG242" s="53"/>
      <c r="AH242" s="53"/>
      <c r="AI242" s="53"/>
      <c r="AJ242" s="53"/>
      <c r="AK242" s="53"/>
      <c r="AL242" s="53"/>
      <c r="AM242" s="53"/>
      <c r="AN242" s="53"/>
      <c r="AO242" s="53"/>
      <c r="AP242" s="49"/>
      <c r="AQ242" s="49"/>
      <c r="AR242" s="49"/>
      <c r="AS242" s="49"/>
      <c r="AT242" s="49"/>
      <c r="AU242" s="53"/>
      <c r="AV242" s="53"/>
      <c r="AW242" s="53"/>
      <c r="AX242" s="53"/>
      <c r="AY242" s="53"/>
      <c r="AZ242" s="53"/>
      <c r="BA242" s="53"/>
      <c r="BB242" s="53"/>
      <c r="BC242" s="53"/>
      <c r="BD242" s="53"/>
      <c r="BE242" s="53"/>
      <c r="BF242" s="53"/>
      <c r="BG242" s="53"/>
      <c r="BH242" s="53"/>
      <c r="BI242" s="53"/>
      <c r="BJ242" s="53"/>
      <c r="BK242" s="53"/>
      <c r="BL242" s="53"/>
      <c r="BM242" s="53"/>
      <c r="BN242" s="53"/>
      <c r="BO242" s="53"/>
      <c r="BP242" s="53"/>
      <c r="BQ242" s="53"/>
      <c r="BR242" s="53"/>
      <c r="BS242" s="53"/>
      <c r="BT242" s="53"/>
      <c r="BU242" s="53"/>
      <c r="BV242" s="53"/>
      <c r="BW242" s="53"/>
      <c r="BX242" s="53"/>
      <c r="BY242" s="53"/>
      <c r="BZ242" s="53"/>
      <c r="CA242" s="53"/>
      <c r="CB242" s="53"/>
      <c r="CC242" s="53"/>
      <c r="CD242" s="53"/>
      <c r="CE242" s="53"/>
      <c r="CF242" s="53"/>
      <c r="CG242" s="53"/>
      <c r="CH242" s="53"/>
      <c r="CI242" s="53"/>
      <c r="CJ242" s="53"/>
      <c r="CK242" s="53"/>
      <c r="CL242" s="53"/>
      <c r="CM242" s="53"/>
      <c r="CN242" s="53"/>
      <c r="CO242" s="53"/>
      <c r="CP242" s="53"/>
      <c r="CQ242" s="53"/>
      <c r="CR242" s="53"/>
      <c r="CS242" s="53"/>
      <c r="CT242" s="53"/>
      <c r="CU242" s="53"/>
      <c r="CV242" s="53"/>
      <c r="CW242" s="53"/>
      <c r="CX242" s="53"/>
      <c r="CY242" s="53"/>
      <c r="CZ242" s="62"/>
      <c r="DA242" s="53"/>
      <c r="DB242" s="53"/>
      <c r="DC242" s="53"/>
      <c r="DD242" s="53"/>
      <c r="DE242" s="53"/>
      <c r="DF242" s="53"/>
      <c r="DG242" s="53"/>
      <c r="DH242" s="53"/>
      <c r="DI242" s="53"/>
      <c r="DJ242" s="53"/>
      <c r="DK242" s="53"/>
      <c r="DL242" s="53"/>
      <c r="DM242" s="53"/>
      <c r="DN242" s="53"/>
      <c r="DO242" s="53"/>
      <c r="DP242" s="53"/>
      <c r="DQ242" s="53"/>
      <c r="DR242" s="53"/>
      <c r="DS242" s="53"/>
      <c r="DT242" s="53"/>
      <c r="DU242" s="53"/>
      <c r="DV242" s="53"/>
      <c r="DW242" s="53"/>
      <c r="DX242" s="53"/>
      <c r="DZ242" s="53"/>
      <c r="EA242" s="53"/>
      <c r="EB242" s="53"/>
      <c r="EC242" s="53"/>
      <c r="ED242" s="53"/>
      <c r="EE242" s="53"/>
      <c r="EF242" s="53"/>
      <c r="EG242" s="53"/>
      <c r="EH242" s="53"/>
      <c r="EI242" s="53"/>
      <c r="EJ242" s="53"/>
      <c r="EK242" s="53"/>
      <c r="EL242" s="53"/>
      <c r="EM242" s="53"/>
      <c r="EN242" s="53"/>
      <c r="EO242" s="53"/>
      <c r="EP242" s="53"/>
      <c r="EQ242" s="53"/>
      <c r="ER242" s="53"/>
      <c r="ES242" s="53"/>
      <c r="ET242" s="53"/>
      <c r="EU242" s="53"/>
      <c r="EV242" s="53"/>
      <c r="EW242" s="53"/>
      <c r="EX242" s="53"/>
      <c r="EY242" s="53"/>
      <c r="EZ242" s="53"/>
      <c r="FA242" s="53"/>
      <c r="FB242" s="53"/>
      <c r="FC242" s="53"/>
    </row>
  </sheetData>
  <sortState ref="A2:FL26">
    <sortCondition ref="C2:C26"/>
  </sortState>
  <pageMargins left="0.75" right="0.75" top="1" bottom="1" header="0.5" footer="0.5"/>
  <pageSetup orientation="portrait" horizontalDpi="4294967292" verticalDpi="4294967292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35"/>
  <sheetViews>
    <sheetView topLeftCell="A7" workbookViewId="0">
      <selection activeCell="C43" sqref="C43"/>
    </sheetView>
  </sheetViews>
  <sheetFormatPr defaultRowHeight="15.75" x14ac:dyDescent="0.25"/>
  <cols>
    <col min="1" max="1" width="15.25" customWidth="1"/>
    <col min="2" max="2" width="32.375" customWidth="1"/>
    <col min="3" max="3" width="22" customWidth="1"/>
    <col min="4" max="4" width="23.875" customWidth="1"/>
    <col min="5" max="5" width="26.75" customWidth="1"/>
  </cols>
  <sheetData>
    <row r="4" spans="2:11" ht="21" x14ac:dyDescent="0.35">
      <c r="B4" s="10" t="s">
        <v>212</v>
      </c>
      <c r="C4" s="137"/>
      <c r="D4" s="137"/>
      <c r="E4" s="137"/>
    </row>
    <row r="5" spans="2:11" ht="21" x14ac:dyDescent="0.35">
      <c r="B5" s="143" t="s">
        <v>354</v>
      </c>
      <c r="C5" s="11" t="s">
        <v>211</v>
      </c>
      <c r="D5" s="11" t="s">
        <v>210</v>
      </c>
      <c r="E5" s="12" t="s">
        <v>217</v>
      </c>
    </row>
    <row r="6" spans="2:11" ht="21" x14ac:dyDescent="0.35">
      <c r="B6" s="13" t="s">
        <v>216</v>
      </c>
      <c r="C6" s="21">
        <f>COUNTA(Whipples!$FB$2:$FB$43)</f>
        <v>42</v>
      </c>
      <c r="D6" s="21">
        <f>COUNTA(Whipples!$FB$45:$FB$1003)</f>
        <v>20</v>
      </c>
      <c r="E6" s="21"/>
    </row>
    <row r="7" spans="2:11" ht="21" x14ac:dyDescent="0.35">
      <c r="B7" s="13" t="s">
        <v>213</v>
      </c>
      <c r="C7" s="14">
        <f>AVERAGE(Whipples!$FB$2:$FB$43)</f>
        <v>10.928571428571429</v>
      </c>
      <c r="D7" s="14">
        <f>AVERAGE(Whipples!$FB$45:$FB$1003)</f>
        <v>8.15</v>
      </c>
      <c r="E7" s="15">
        <f>D7-C7</f>
        <v>-2.7785714285714285</v>
      </c>
    </row>
    <row r="8" spans="2:11" ht="21" x14ac:dyDescent="0.35">
      <c r="B8" s="13" t="s">
        <v>214</v>
      </c>
      <c r="C8" s="14">
        <f>MEDIAN(Whipples!$FB$2:$FB$43)</f>
        <v>9</v>
      </c>
      <c r="D8" s="14">
        <f>MEDIAN(Whipples!$FB$45:$FB$1003)</f>
        <v>7</v>
      </c>
      <c r="E8" s="15">
        <f t="shared" ref="E8:E9" si="0">D8-C8</f>
        <v>-2</v>
      </c>
    </row>
    <row r="9" spans="2:11" ht="21" x14ac:dyDescent="0.35">
      <c r="B9" s="13" t="s">
        <v>215</v>
      </c>
      <c r="C9" s="16">
        <f>STDEV(Whipples!$FB$2:$FB$43)</f>
        <v>4.6401895311525188</v>
      </c>
      <c r="D9" s="16">
        <f>STDEV(Whipples!$FB$45:$FB$999)</f>
        <v>2.580799549711188</v>
      </c>
      <c r="E9" s="17">
        <f t="shared" si="0"/>
        <v>-2.0593899814413308</v>
      </c>
    </row>
    <row r="10" spans="2:11" ht="21" x14ac:dyDescent="0.35">
      <c r="B10" s="173" t="s">
        <v>260</v>
      </c>
      <c r="C10" s="138">
        <f>TTEST(Whipples!FB2:'Whipples'!FB43, Whipples!FB45:'Whipples'!FB103, 1, 3)</f>
        <v>1.8649204444480432E-3</v>
      </c>
      <c r="D10" s="139"/>
      <c r="E10" s="140"/>
      <c r="K10" s="119"/>
    </row>
    <row r="13" spans="2:11" ht="21" x14ac:dyDescent="0.35">
      <c r="B13" s="10" t="s">
        <v>218</v>
      </c>
      <c r="C13" s="137"/>
      <c r="D13" s="137"/>
      <c r="E13" s="137"/>
    </row>
    <row r="14" spans="2:11" ht="21" x14ac:dyDescent="0.35">
      <c r="B14" s="143" t="s">
        <v>354</v>
      </c>
      <c r="C14" s="11" t="s">
        <v>211</v>
      </c>
      <c r="D14" s="11" t="s">
        <v>210</v>
      </c>
      <c r="E14" s="12" t="s">
        <v>217</v>
      </c>
    </row>
    <row r="15" spans="2:11" ht="21" x14ac:dyDescent="0.35">
      <c r="B15" s="13" t="s">
        <v>216</v>
      </c>
      <c r="C15" s="21">
        <f>COUNTA(distals!$FC$2:$FC$18)</f>
        <v>17</v>
      </c>
      <c r="D15" s="21">
        <f>COUNTA(distals!$FC$20:$FC$1000)</f>
        <v>19</v>
      </c>
      <c r="E15" s="21"/>
    </row>
    <row r="16" spans="2:11" ht="21" x14ac:dyDescent="0.35">
      <c r="B16" s="13" t="s">
        <v>213</v>
      </c>
      <c r="C16" s="14">
        <f>AVERAGE(distals!$FC$2:$FC$18)</f>
        <v>9.0588235294117645</v>
      </c>
      <c r="D16" s="14">
        <f>AVERAGE(distals!$FC$20:$FC$1000)</f>
        <v>6.5263157894736841</v>
      </c>
      <c r="E16" s="15">
        <f>D16-C16</f>
        <v>-2.5325077399380804</v>
      </c>
    </row>
    <row r="17" spans="2:5" ht="21" x14ac:dyDescent="0.35">
      <c r="B17" s="13" t="s">
        <v>214</v>
      </c>
      <c r="C17" s="14">
        <f>MEDIAN(distals!$FC$2:$FC$18)</f>
        <v>7</v>
      </c>
      <c r="D17" s="14">
        <f>MEDIAN(distals!$FC$20:$FC$1000)</f>
        <v>6</v>
      </c>
      <c r="E17" s="15">
        <f t="shared" ref="E17:E18" si="1">D17-C17</f>
        <v>-1</v>
      </c>
    </row>
    <row r="18" spans="2:5" ht="21" x14ac:dyDescent="0.35">
      <c r="B18" s="13" t="s">
        <v>215</v>
      </c>
      <c r="C18" s="16">
        <f>STDEV(distals!$FC$2:$FC$18)</f>
        <v>4.4083810553775598</v>
      </c>
      <c r="D18" s="16">
        <f>STDEV(distals!$FC$20:$FC$1000)</f>
        <v>1.8064212949190011</v>
      </c>
      <c r="E18" s="17">
        <f t="shared" si="1"/>
        <v>-2.6019597604585587</v>
      </c>
    </row>
    <row r="19" spans="2:5" ht="21" x14ac:dyDescent="0.35">
      <c r="B19" s="121" t="s">
        <v>260</v>
      </c>
      <c r="C19" s="141">
        <f>TTEST(distals!FC2:'distals'!FC18, distals!FC20:'distals'!FC34, 1, 3)</f>
        <v>1.2107161207884951E-2</v>
      </c>
      <c r="D19" s="139"/>
      <c r="E19" s="140"/>
    </row>
    <row r="20" spans="2:5" ht="21" x14ac:dyDescent="0.35">
      <c r="B20" s="142"/>
      <c r="C20" s="142"/>
      <c r="D20" s="142"/>
      <c r="E20" s="142"/>
    </row>
    <row r="21" spans="2:5" ht="21" x14ac:dyDescent="0.35">
      <c r="B21" s="10" t="s">
        <v>353</v>
      </c>
      <c r="C21" s="137"/>
      <c r="D21" s="137"/>
      <c r="E21" s="137"/>
    </row>
    <row r="22" spans="2:5" ht="21" x14ac:dyDescent="0.35">
      <c r="B22" s="143" t="s">
        <v>355</v>
      </c>
      <c r="C22" s="11" t="s">
        <v>211</v>
      </c>
      <c r="D22" s="11" t="s">
        <v>210</v>
      </c>
      <c r="E22" s="12" t="s">
        <v>217</v>
      </c>
    </row>
    <row r="23" spans="2:5" ht="21" x14ac:dyDescent="0.35">
      <c r="B23" s="13" t="s">
        <v>216</v>
      </c>
      <c r="C23" s="21">
        <f>COUNTA(Whipples!$CY$2:$CY$43)</f>
        <v>36</v>
      </c>
      <c r="D23" s="21">
        <f>COUNTA(Whipples!$CY$45:$CY$1003)</f>
        <v>19</v>
      </c>
      <c r="E23" s="21"/>
    </row>
    <row r="24" spans="2:5" ht="21" x14ac:dyDescent="0.35">
      <c r="B24" s="13" t="s">
        <v>356</v>
      </c>
      <c r="C24" s="14">
        <f>AVERAGE(Whipples!$CY$2:$CY$43)*1440</f>
        <v>137.97222222222223</v>
      </c>
      <c r="D24" s="14">
        <f>AVERAGE(Whipples!$CY$45:$CY$1003)*1440</f>
        <v>89.368421052631575</v>
      </c>
      <c r="E24" s="15">
        <f>D24-C24</f>
        <v>-48.603801169590653</v>
      </c>
    </row>
    <row r="25" spans="2:5" ht="21" x14ac:dyDescent="0.35">
      <c r="B25" s="13" t="s">
        <v>357</v>
      </c>
      <c r="C25" s="14">
        <f>MEDIAN(Whipples!$CY$2:$CY$43)*1440</f>
        <v>117.00000000000006</v>
      </c>
      <c r="D25" s="14">
        <f>MEDIAN(Whipples!$CY$45:$CY$1003)*1440</f>
        <v>80.000000000000028</v>
      </c>
      <c r="E25" s="15">
        <f>D25-C25</f>
        <v>-37.000000000000028</v>
      </c>
    </row>
    <row r="26" spans="2:5" ht="21" x14ac:dyDescent="0.35">
      <c r="B26" s="13" t="s">
        <v>358</v>
      </c>
      <c r="C26" s="16">
        <f>STDEV(Whipples!$CY$2:$CY$43)*1440</f>
        <v>78.552434212027549</v>
      </c>
      <c r="D26" s="16">
        <f>STDEV(Whipples!$CY$45:$CY$1003)*1440</f>
        <v>31.995156797233111</v>
      </c>
      <c r="E26" s="17">
        <f>C26-D26</f>
        <v>46.557277414794441</v>
      </c>
    </row>
    <row r="27" spans="2:5" ht="21" x14ac:dyDescent="0.35">
      <c r="B27" s="121" t="s">
        <v>260</v>
      </c>
      <c r="C27" s="138">
        <f>TTEST(Whipples!CY2:'Whipples'!CY43, Whipples!CY45:'Whipples'!CY103, 1, 3)</f>
        <v>1.06174095000715E-3</v>
      </c>
      <c r="D27" s="139"/>
      <c r="E27" s="140"/>
    </row>
    <row r="28" spans="2:5" ht="21" x14ac:dyDescent="0.35">
      <c r="B28" s="142"/>
      <c r="C28" s="142"/>
      <c r="D28" s="142"/>
      <c r="E28" s="142"/>
    </row>
    <row r="29" spans="2:5" ht="21" x14ac:dyDescent="0.35">
      <c r="B29" s="10" t="s">
        <v>218</v>
      </c>
      <c r="C29" s="137"/>
      <c r="D29" s="137"/>
      <c r="E29" s="137"/>
    </row>
    <row r="30" spans="2:5" ht="21" x14ac:dyDescent="0.35">
      <c r="B30" s="143" t="s">
        <v>355</v>
      </c>
      <c r="C30" s="11" t="s">
        <v>211</v>
      </c>
      <c r="D30" s="11" t="s">
        <v>210</v>
      </c>
      <c r="E30" s="12" t="s">
        <v>217</v>
      </c>
    </row>
    <row r="31" spans="2:5" ht="21" x14ac:dyDescent="0.35">
      <c r="B31" s="13" t="s">
        <v>216</v>
      </c>
      <c r="C31" s="21">
        <f>COUNTA(distals!$CY$2:$CY$18)</f>
        <v>17</v>
      </c>
      <c r="D31" s="21">
        <f>COUNTA(distals!$CY$20:$CY$1000)</f>
        <v>19</v>
      </c>
      <c r="E31" s="21"/>
    </row>
    <row r="32" spans="2:5" ht="21" x14ac:dyDescent="0.35">
      <c r="B32" s="13" t="s">
        <v>356</v>
      </c>
      <c r="C32" s="14">
        <f>AVERAGE(distals!$CY$2:$CY$18)*1440</f>
        <v>114.35294117647064</v>
      </c>
      <c r="D32" s="14">
        <f>AVERAGE(distals!$CY$20:$CY$1000)*1440</f>
        <v>101.47368421052632</v>
      </c>
      <c r="E32" s="15">
        <f>D32-C32</f>
        <v>-12.879256965944322</v>
      </c>
    </row>
    <row r="33" spans="2:5" ht="21" x14ac:dyDescent="0.35">
      <c r="B33" s="13" t="s">
        <v>357</v>
      </c>
      <c r="C33" s="14">
        <f>MEDIAN(distals!$CY$2:$CY$18)*1440</f>
        <v>100.00000000000013</v>
      </c>
      <c r="D33" s="14">
        <f>MEDIAN(distals!$CY$20:$CY$1000)*1440</f>
        <v>80.000000000000028</v>
      </c>
      <c r="E33" s="15">
        <f>D33-C33</f>
        <v>-20.000000000000099</v>
      </c>
    </row>
    <row r="34" spans="2:5" ht="21" x14ac:dyDescent="0.35">
      <c r="B34" s="13" t="s">
        <v>358</v>
      </c>
      <c r="C34" s="16">
        <f>STDEV(distals!$CY$2:$CY$18)*1440</f>
        <v>60.898420727132326</v>
      </c>
      <c r="D34" s="16">
        <f>STDEV(distals!$CY$20:$CY$1000)*1440</f>
        <v>49.01855478745054</v>
      </c>
      <c r="E34" s="17">
        <f>D34-C34</f>
        <v>-11.879865939681785</v>
      </c>
    </row>
    <row r="35" spans="2:5" ht="21" x14ac:dyDescent="0.35">
      <c r="B35" s="121" t="s">
        <v>260</v>
      </c>
      <c r="C35" s="177">
        <f>TTEST(distals!CY2:'distals'!CY18, distals!CY20:'distals'!CY100, 1, 3)</f>
        <v>0.24651466819328</v>
      </c>
      <c r="D35" s="120"/>
      <c r="E35" s="120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activeCell="E3" sqref="E3:H8"/>
    </sheetView>
  </sheetViews>
  <sheetFormatPr defaultRowHeight="15.75" x14ac:dyDescent="0.25"/>
  <cols>
    <col min="1" max="1" width="10.375" style="119" bestFit="1" customWidth="1"/>
    <col min="5" max="5" width="43.125" customWidth="1"/>
    <col min="6" max="6" width="12" customWidth="1"/>
    <col min="7" max="7" width="9" customWidth="1"/>
    <col min="8" max="8" width="13" customWidth="1"/>
  </cols>
  <sheetData>
    <row r="1" spans="1:8" x14ac:dyDescent="0.25">
      <c r="B1" t="s">
        <v>245</v>
      </c>
    </row>
    <row r="2" spans="1:8" x14ac:dyDescent="0.25">
      <c r="A2" s="119">
        <f>Whipples!G2</f>
        <v>41284</v>
      </c>
      <c r="B2">
        <f>Whipples!CO3</f>
        <v>3</v>
      </c>
    </row>
    <row r="3" spans="1:8" ht="21" x14ac:dyDescent="0.35">
      <c r="A3" s="119">
        <f>Whipples!G3</f>
        <v>41291</v>
      </c>
      <c r="B3">
        <f>Whipples!CO4</f>
        <v>0</v>
      </c>
      <c r="E3" s="144" t="s">
        <v>364</v>
      </c>
      <c r="F3" s="145" t="s">
        <v>211</v>
      </c>
      <c r="G3" s="145" t="s">
        <v>210</v>
      </c>
      <c r="H3" s="145" t="s">
        <v>217</v>
      </c>
    </row>
    <row r="4" spans="1:8" ht="21" x14ac:dyDescent="0.35">
      <c r="A4" s="119">
        <f>Whipples!G4</f>
        <v>41298</v>
      </c>
      <c r="B4">
        <f>Whipples!CO5</f>
        <v>0</v>
      </c>
      <c r="E4" s="146" t="s">
        <v>216</v>
      </c>
      <c r="F4" s="147">
        <f>COUNTA(Whipples!$CO$2:$CO$43)</f>
        <v>39</v>
      </c>
      <c r="G4" s="148">
        <f>COUNTA(Whipples!$CO$45:$CO$1003)</f>
        <v>20</v>
      </c>
      <c r="H4" s="144"/>
    </row>
    <row r="5" spans="1:8" ht="21" x14ac:dyDescent="0.35">
      <c r="A5" s="119">
        <f>Whipples!G5</f>
        <v>41326</v>
      </c>
      <c r="B5">
        <f>Whipples!CO6</f>
        <v>0</v>
      </c>
      <c r="E5" s="146" t="s">
        <v>146</v>
      </c>
      <c r="F5" s="149">
        <f>AVERAGE(Whipples!$CO$2:$CO$43)</f>
        <v>0.71794871794871795</v>
      </c>
      <c r="G5" s="149">
        <f>AVERAGE(Whipples!$CO$45:$CO$1003)</f>
        <v>0.36842105263157893</v>
      </c>
      <c r="H5" s="150">
        <f>G5-F5</f>
        <v>-0.34952766531713902</v>
      </c>
    </row>
    <row r="6" spans="1:8" ht="21" x14ac:dyDescent="0.35">
      <c r="A6" s="119">
        <f>Whipples!G6</f>
        <v>41327</v>
      </c>
      <c r="B6">
        <f>Whipples!CO7</f>
        <v>0</v>
      </c>
      <c r="E6" s="146" t="s">
        <v>147</v>
      </c>
      <c r="F6" s="149">
        <f>MEDIAN(Whipples!$CO$2:$CO$43)</f>
        <v>0</v>
      </c>
      <c r="G6" s="149">
        <f>MEDIAN(Whipples!$CO$45:$CO$1003)</f>
        <v>0</v>
      </c>
      <c r="H6" s="150">
        <f>G6-F6</f>
        <v>0</v>
      </c>
    </row>
    <row r="7" spans="1:8" ht="21" x14ac:dyDescent="0.35">
      <c r="A7" s="119">
        <f>Whipples!G7</f>
        <v>41354</v>
      </c>
      <c r="B7">
        <f>Whipples!CO8</f>
        <v>0</v>
      </c>
      <c r="E7" s="146" t="s">
        <v>236</v>
      </c>
      <c r="F7" s="151">
        <f>STDEV(Whipples!$CO$2:$CO$43)</f>
        <v>1.0990119473685622</v>
      </c>
      <c r="G7" s="151">
        <f>STDEV(Whipples!$CO$45:$CO$1003)</f>
        <v>1.0116282977781399</v>
      </c>
      <c r="H7" s="154">
        <f>G7-F7</f>
        <v>-8.738364959042233E-2</v>
      </c>
    </row>
    <row r="8" spans="1:8" ht="21" x14ac:dyDescent="0.35">
      <c r="A8" s="119">
        <f>Whipples!G8</f>
        <v>41355</v>
      </c>
      <c r="B8">
        <f>Whipples!CO9</f>
        <v>2</v>
      </c>
      <c r="E8" s="121" t="s">
        <v>260</v>
      </c>
      <c r="F8" s="155">
        <f>TTEST(B2:B40, B41:B100, 1, 3)</f>
        <v>7.0775330495153735E-2</v>
      </c>
      <c r="G8" s="152"/>
      <c r="H8" s="153"/>
    </row>
    <row r="9" spans="1:8" x14ac:dyDescent="0.25">
      <c r="A9" s="119">
        <f>Whipples!G9</f>
        <v>41360</v>
      </c>
      <c r="B9">
        <f>Whipples!CO10</f>
        <v>0</v>
      </c>
    </row>
    <row r="10" spans="1:8" x14ac:dyDescent="0.25">
      <c r="A10" s="119">
        <f>Whipples!G10</f>
        <v>41361</v>
      </c>
      <c r="B10">
        <f>Whipples!CO11</f>
        <v>0</v>
      </c>
    </row>
    <row r="11" spans="1:8" x14ac:dyDescent="0.25">
      <c r="A11" s="119">
        <f>Whipples!G11</f>
        <v>41375</v>
      </c>
      <c r="B11">
        <f>Whipples!CO12</f>
        <v>2</v>
      </c>
    </row>
    <row r="12" spans="1:8" x14ac:dyDescent="0.25">
      <c r="A12" s="119">
        <f>Whipples!G12</f>
        <v>41381</v>
      </c>
      <c r="B12">
        <f>Whipples!CO13</f>
        <v>2</v>
      </c>
    </row>
    <row r="13" spans="1:8" x14ac:dyDescent="0.25">
      <c r="A13" s="119">
        <f>Whipples!G13</f>
        <v>41389</v>
      </c>
      <c r="B13">
        <f>Whipples!CO14</f>
        <v>0</v>
      </c>
    </row>
    <row r="14" spans="1:8" x14ac:dyDescent="0.25">
      <c r="A14" s="119">
        <f>Whipples!G14</f>
        <v>41396</v>
      </c>
      <c r="B14">
        <f>Whipples!CO15</f>
        <v>0</v>
      </c>
    </row>
    <row r="15" spans="1:8" x14ac:dyDescent="0.25">
      <c r="A15" s="119">
        <f>Whipples!G15</f>
        <v>41402</v>
      </c>
      <c r="B15">
        <f>Whipples!CO16</f>
        <v>0</v>
      </c>
    </row>
    <row r="16" spans="1:8" x14ac:dyDescent="0.25">
      <c r="A16" s="119">
        <f>Whipples!G16</f>
        <v>41403</v>
      </c>
      <c r="B16">
        <f>Whipples!CO17</f>
        <v>0</v>
      </c>
    </row>
    <row r="17" spans="1:2" x14ac:dyDescent="0.25">
      <c r="A17" s="119">
        <f>Whipples!G17</f>
        <v>41410</v>
      </c>
      <c r="B17">
        <f>Whipples!CO18</f>
        <v>0</v>
      </c>
    </row>
    <row r="18" spans="1:2" x14ac:dyDescent="0.25">
      <c r="A18" s="119">
        <f>Whipples!G18</f>
        <v>41417</v>
      </c>
      <c r="B18">
        <f>Whipples!CO19</f>
        <v>2</v>
      </c>
    </row>
    <row r="19" spans="1:2" x14ac:dyDescent="0.25">
      <c r="A19" s="119">
        <f>Whipples!G19</f>
        <v>41418</v>
      </c>
      <c r="B19">
        <f>Whipples!CO20</f>
        <v>1</v>
      </c>
    </row>
    <row r="20" spans="1:2" x14ac:dyDescent="0.25">
      <c r="A20" s="119">
        <f>Whipples!G20</f>
        <v>41439</v>
      </c>
      <c r="B20">
        <f>Whipples!CO21</f>
        <v>2</v>
      </c>
    </row>
    <row r="21" spans="1:2" x14ac:dyDescent="0.25">
      <c r="A21" s="119">
        <f>Whipples!G21</f>
        <v>41446</v>
      </c>
      <c r="B21">
        <f>Whipples!CO22</f>
        <v>0</v>
      </c>
    </row>
    <row r="22" spans="1:2" x14ac:dyDescent="0.25">
      <c r="A22" s="119">
        <f>Whipples!G22</f>
        <v>41452</v>
      </c>
      <c r="B22">
        <f>Whipples!CO23</f>
        <v>0</v>
      </c>
    </row>
    <row r="23" spans="1:2" x14ac:dyDescent="0.25">
      <c r="A23" s="119">
        <f>Whipples!G23</f>
        <v>41494</v>
      </c>
      <c r="B23">
        <f>Whipples!CO24</f>
        <v>0</v>
      </c>
    </row>
    <row r="24" spans="1:2" x14ac:dyDescent="0.25">
      <c r="A24" s="119">
        <f>Whipples!G24</f>
        <v>41508</v>
      </c>
      <c r="B24">
        <f>Whipples!CO25</f>
        <v>2</v>
      </c>
    </row>
    <row r="25" spans="1:2" x14ac:dyDescent="0.25">
      <c r="A25" s="119">
        <f>Whipples!G25</f>
        <v>41522</v>
      </c>
      <c r="B25">
        <f>Whipples!CO26</f>
        <v>0</v>
      </c>
    </row>
    <row r="26" spans="1:2" x14ac:dyDescent="0.25">
      <c r="A26" s="119">
        <f>Whipples!G26</f>
        <v>41535</v>
      </c>
      <c r="B26">
        <f>Whipples!CO27</f>
        <v>0</v>
      </c>
    </row>
    <row r="27" spans="1:2" x14ac:dyDescent="0.25">
      <c r="A27" s="119">
        <f>Whipples!G27</f>
        <v>41600</v>
      </c>
      <c r="B27">
        <f>Whipples!CO28</f>
        <v>2</v>
      </c>
    </row>
    <row r="28" spans="1:2" x14ac:dyDescent="0.25">
      <c r="A28" s="119">
        <f>Whipples!G28</f>
        <v>41619</v>
      </c>
      <c r="B28">
        <f>Whipples!CO29</f>
        <v>2</v>
      </c>
    </row>
    <row r="29" spans="1:2" x14ac:dyDescent="0.25">
      <c r="A29" s="119">
        <f>Whipples!G29</f>
        <v>41684</v>
      </c>
      <c r="B29">
        <f>Whipples!CO30</f>
        <v>0</v>
      </c>
    </row>
    <row r="30" spans="1:2" x14ac:dyDescent="0.25">
      <c r="A30" s="119">
        <f>Whipples!G30</f>
        <v>41697</v>
      </c>
      <c r="B30">
        <f>Whipples!CO31</f>
        <v>0</v>
      </c>
    </row>
    <row r="31" spans="1:2" x14ac:dyDescent="0.25">
      <c r="A31" s="119">
        <f>Whipples!G31</f>
        <v>41704</v>
      </c>
      <c r="B31">
        <f>Whipples!CO32</f>
        <v>4</v>
      </c>
    </row>
    <row r="32" spans="1:2" x14ac:dyDescent="0.25">
      <c r="A32" s="119">
        <f>Whipples!G32</f>
        <v>41725</v>
      </c>
      <c r="B32">
        <f>Whipples!CO33</f>
        <v>0</v>
      </c>
    </row>
    <row r="33" spans="1:2" x14ac:dyDescent="0.25">
      <c r="A33" s="119">
        <f>Whipples!G33</f>
        <v>41732</v>
      </c>
      <c r="B33">
        <f>Whipples!CO34</f>
        <v>0</v>
      </c>
    </row>
    <row r="34" spans="1:2" x14ac:dyDescent="0.25">
      <c r="A34" s="119">
        <f>Whipples!G34</f>
        <v>41733</v>
      </c>
      <c r="B34">
        <f>Whipples!CO35</f>
        <v>0</v>
      </c>
    </row>
    <row r="35" spans="1:2" x14ac:dyDescent="0.25">
      <c r="A35" s="119">
        <f>Whipples!G35</f>
        <v>41739</v>
      </c>
      <c r="B35">
        <f>Whipples!CO36</f>
        <v>0</v>
      </c>
    </row>
    <row r="36" spans="1:2" x14ac:dyDescent="0.25">
      <c r="A36" s="119">
        <f>Whipples!G36</f>
        <v>41740</v>
      </c>
      <c r="B36">
        <f>Whipples!CO37</f>
        <v>2</v>
      </c>
    </row>
    <row r="37" spans="1:2" x14ac:dyDescent="0.25">
      <c r="A37" s="119">
        <f>Whipples!G37</f>
        <v>41753</v>
      </c>
      <c r="B37">
        <f>Whipples!CO38</f>
        <v>0</v>
      </c>
    </row>
    <row r="38" spans="1:2" x14ac:dyDescent="0.25">
      <c r="A38" s="119">
        <f>Whipples!G38</f>
        <v>41754</v>
      </c>
      <c r="B38">
        <f>Whipples!CO39</f>
        <v>0</v>
      </c>
    </row>
    <row r="39" spans="1:2" x14ac:dyDescent="0.25">
      <c r="A39" s="119">
        <f>Whipples!G39</f>
        <v>41774</v>
      </c>
      <c r="B39">
        <f>Whipples!CO40</f>
        <v>2</v>
      </c>
    </row>
    <row r="40" spans="1:2" x14ac:dyDescent="0.25">
      <c r="A40" s="119">
        <f>Whipples!G40</f>
        <v>41788</v>
      </c>
      <c r="B40">
        <f>Whipples!CO41</f>
        <v>0</v>
      </c>
    </row>
    <row r="41" spans="1:2" x14ac:dyDescent="0.25">
      <c r="A41" s="119">
        <f>Whipples!G41</f>
        <v>41795</v>
      </c>
      <c r="B41">
        <f>Whipples!CO42</f>
        <v>0</v>
      </c>
    </row>
    <row r="42" spans="1:2" x14ac:dyDescent="0.25">
      <c r="A42" s="119">
        <f>Whipples!G42</f>
        <v>41802</v>
      </c>
      <c r="B42">
        <f>Whipples!CO43</f>
        <v>0</v>
      </c>
    </row>
    <row r="43" spans="1:2" x14ac:dyDescent="0.25">
      <c r="A43" s="119">
        <f>Whipples!G43</f>
        <v>41803</v>
      </c>
      <c r="B43">
        <f>Whipples!CO45</f>
        <v>1</v>
      </c>
    </row>
    <row r="44" spans="1:2" x14ac:dyDescent="0.25">
      <c r="A44" s="119">
        <f>Whipples!G45</f>
        <v>41830</v>
      </c>
      <c r="B44">
        <f>Whipples!CO46</f>
        <v>0</v>
      </c>
    </row>
    <row r="45" spans="1:2" x14ac:dyDescent="0.25">
      <c r="A45" s="119">
        <f>Whipples!G46</f>
        <v>41858</v>
      </c>
      <c r="B45">
        <f>Whipples!CO47</f>
        <v>0</v>
      </c>
    </row>
    <row r="46" spans="1:2" x14ac:dyDescent="0.25">
      <c r="A46" s="119">
        <f>Whipples!G47</f>
        <v>41873</v>
      </c>
      <c r="B46">
        <f>Whipples!CO48</f>
        <v>0</v>
      </c>
    </row>
    <row r="47" spans="1:2" x14ac:dyDescent="0.25">
      <c r="A47" s="119">
        <f>Whipples!G48</f>
        <v>41880</v>
      </c>
      <c r="B47">
        <f>Whipples!CO49</f>
        <v>0</v>
      </c>
    </row>
    <row r="48" spans="1:2" x14ac:dyDescent="0.25">
      <c r="A48" s="119">
        <f>Whipples!G49</f>
        <v>41886</v>
      </c>
      <c r="B48">
        <f>Whipples!CO50</f>
        <v>2</v>
      </c>
    </row>
    <row r="49" spans="1:2" x14ac:dyDescent="0.25">
      <c r="A49" s="119">
        <f>Whipples!G50</f>
        <v>41887</v>
      </c>
      <c r="B49">
        <f>Whipples!CO51</f>
        <v>0</v>
      </c>
    </row>
    <row r="50" spans="1:2" x14ac:dyDescent="0.25">
      <c r="A50" s="119">
        <f>Whipples!G51</f>
        <v>41893</v>
      </c>
      <c r="B50">
        <f>Whipples!CO52</f>
        <v>0</v>
      </c>
    </row>
    <row r="51" spans="1:2" x14ac:dyDescent="0.25">
      <c r="A51" s="119">
        <f>Whipples!G52</f>
        <v>41914</v>
      </c>
      <c r="B51">
        <f>Whipples!CO53</f>
        <v>0</v>
      </c>
    </row>
    <row r="52" spans="1:2" x14ac:dyDescent="0.25">
      <c r="A52" s="119">
        <f>Whipples!G53</f>
        <v>41921</v>
      </c>
      <c r="B52">
        <f>Whipples!CO54</f>
        <v>0</v>
      </c>
    </row>
    <row r="53" spans="1:2" x14ac:dyDescent="0.25">
      <c r="A53" s="119">
        <f>Whipples!G54</f>
        <v>41922</v>
      </c>
      <c r="B53">
        <f>Whipples!CO55</f>
        <v>0</v>
      </c>
    </row>
    <row r="54" spans="1:2" x14ac:dyDescent="0.25">
      <c r="A54" s="119">
        <f>Whipples!G55</f>
        <v>41928</v>
      </c>
      <c r="B54">
        <f>Whipples!CO57</f>
        <v>0</v>
      </c>
    </row>
    <row r="55" spans="1:2" x14ac:dyDescent="0.25">
      <c r="A55" s="119">
        <f>Whipples!G57</f>
        <v>41977</v>
      </c>
      <c r="B55">
        <f>Whipples!CO58</f>
        <v>0</v>
      </c>
    </row>
    <row r="56" spans="1:2" x14ac:dyDescent="0.25">
      <c r="A56" s="119">
        <f>Whipples!G58</f>
        <v>42006</v>
      </c>
      <c r="B56">
        <v>0</v>
      </c>
    </row>
    <row r="57" spans="1:2" x14ac:dyDescent="0.25">
      <c r="A57" s="119">
        <f>Whipples!G59</f>
        <v>42027</v>
      </c>
      <c r="B57">
        <f>Whipples!CO60</f>
        <v>0</v>
      </c>
    </row>
    <row r="58" spans="1:2" x14ac:dyDescent="0.25">
      <c r="A58" s="119">
        <f>Whipples!G60</f>
        <v>42033</v>
      </c>
      <c r="B58">
        <f>Whipples!CO61</f>
        <v>0</v>
      </c>
    </row>
    <row r="59" spans="1:2" x14ac:dyDescent="0.25">
      <c r="A59" s="119">
        <f>Whipples!G61</f>
        <v>42034</v>
      </c>
      <c r="B59">
        <f>Whipples!CO62</f>
        <v>0</v>
      </c>
    </row>
    <row r="60" spans="1:2" x14ac:dyDescent="0.25">
      <c r="A60" s="119">
        <f>Whipples!G62</f>
        <v>42040</v>
      </c>
      <c r="B60">
        <f>Whipples!CO63</f>
        <v>4</v>
      </c>
    </row>
    <row r="61" spans="1:2" x14ac:dyDescent="0.25">
      <c r="A61" s="119">
        <f>Whipples!G63</f>
        <v>42075</v>
      </c>
      <c r="B61">
        <f>Whipples!CO64</f>
        <v>0</v>
      </c>
    </row>
    <row r="62" spans="1:2" x14ac:dyDescent="0.25">
      <c r="A62" s="119">
        <f>Whipples!G64</f>
        <v>42111</v>
      </c>
      <c r="B62">
        <f>Whipples!CO65</f>
        <v>0</v>
      </c>
    </row>
    <row r="63" spans="1:2" x14ac:dyDescent="0.25">
      <c r="A63" s="248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zoomScaleNormal="100" workbookViewId="0">
      <selection activeCell="E27" sqref="E27"/>
    </sheetView>
  </sheetViews>
  <sheetFormatPr defaultRowHeight="15.75" x14ac:dyDescent="0.25"/>
  <cols>
    <col min="1" max="1" width="10.375" style="119" bestFit="1" customWidth="1"/>
    <col min="2" max="4" width="6.125" customWidth="1"/>
    <col min="6" max="6" width="40.375" customWidth="1"/>
    <col min="7" max="7" width="12.25" customWidth="1"/>
    <col min="8" max="8" width="9.875" customWidth="1"/>
    <col min="9" max="9" width="12.375" customWidth="1"/>
  </cols>
  <sheetData>
    <row r="1" spans="1:11" x14ac:dyDescent="0.25">
      <c r="A1" s="119" t="s">
        <v>328</v>
      </c>
      <c r="B1" t="s">
        <v>330</v>
      </c>
    </row>
    <row r="2" spans="1:11" ht="18" customHeight="1" x14ac:dyDescent="0.35">
      <c r="A2" s="119">
        <f>distals!G2</f>
        <v>41313</v>
      </c>
      <c r="B2">
        <f>distals!CO3</f>
        <v>0</v>
      </c>
      <c r="F2" s="144" t="s">
        <v>363</v>
      </c>
      <c r="G2" s="145" t="s">
        <v>211</v>
      </c>
      <c r="H2" s="145" t="s">
        <v>210</v>
      </c>
      <c r="I2" s="145" t="s">
        <v>217</v>
      </c>
      <c r="K2">
        <f>RANK(A6,$A$6:$B$17,1) + (COUNTIF($A$6:$B$17,A6)-1)/2</f>
        <v>13</v>
      </c>
    </row>
    <row r="3" spans="1:11" ht="18" customHeight="1" x14ac:dyDescent="0.35">
      <c r="A3" s="119">
        <f>distals!G3</f>
        <v>41382</v>
      </c>
      <c r="B3">
        <f>distals!CO4</f>
        <v>0</v>
      </c>
      <c r="F3" s="146" t="s">
        <v>216</v>
      </c>
      <c r="G3" s="147">
        <f>COUNTA(distals!$CO$2:$CO$18)</f>
        <v>17</v>
      </c>
      <c r="H3" s="147">
        <f>COUNTA(distals!$CO$20:$CO$1000)</f>
        <v>19</v>
      </c>
      <c r="I3" s="144"/>
    </row>
    <row r="4" spans="1:11" ht="20.25" customHeight="1" x14ac:dyDescent="0.35">
      <c r="A4" s="119">
        <f>distals!G4</f>
        <v>41410</v>
      </c>
      <c r="B4">
        <f>distals!CO5</f>
        <v>2</v>
      </c>
      <c r="F4" s="146" t="s">
        <v>146</v>
      </c>
      <c r="G4" s="156">
        <f>AVERAGE(distals!$CO$2:$CO$18)</f>
        <v>0.23529411764705882</v>
      </c>
      <c r="H4" s="156">
        <f>AVERAGE(distals!$CO$20:$CO$1000)</f>
        <v>0.15789473684210525</v>
      </c>
      <c r="I4" s="157">
        <f>H4-G4</f>
        <v>-7.7399380804953566E-2</v>
      </c>
    </row>
    <row r="5" spans="1:11" ht="18.75" customHeight="1" x14ac:dyDescent="0.35">
      <c r="A5" s="119">
        <f>distals!G5</f>
        <v>41411</v>
      </c>
      <c r="B5">
        <f>distals!CO6</f>
        <v>0</v>
      </c>
      <c r="F5" s="146" t="s">
        <v>147</v>
      </c>
      <c r="G5" s="156">
        <f>MEDIAN(distals!$CO$2:$CO$18)</f>
        <v>0</v>
      </c>
      <c r="H5" s="156">
        <f>MEDIAN(distals!$CO$20:$CO$1000)</f>
        <v>0</v>
      </c>
      <c r="I5" s="157">
        <f t="shared" ref="I5:I6" si="0">H5-G5</f>
        <v>0</v>
      </c>
    </row>
    <row r="6" spans="1:11" ht="21" x14ac:dyDescent="0.35">
      <c r="A6" s="119">
        <f>distals!G6</f>
        <v>41424</v>
      </c>
      <c r="B6">
        <f>distals!CO7</f>
        <v>0</v>
      </c>
      <c r="F6" s="146" t="s">
        <v>236</v>
      </c>
      <c r="G6" s="151">
        <f>STDEV(distals!$CO$2:$CO$18)</f>
        <v>0.66421116415507142</v>
      </c>
      <c r="H6" s="151">
        <f>STDEV(distals!$CO$20:$CO$1000)</f>
        <v>0.50145985712127905</v>
      </c>
      <c r="I6" s="221">
        <f t="shared" si="0"/>
        <v>-0.16275130703379237</v>
      </c>
    </row>
    <row r="7" spans="1:11" ht="21" x14ac:dyDescent="0.35">
      <c r="A7" s="119">
        <f>distals!G7</f>
        <v>41437</v>
      </c>
      <c r="B7">
        <f>distals!CO8</f>
        <v>2</v>
      </c>
      <c r="F7" s="121" t="s">
        <v>260</v>
      </c>
      <c r="G7" s="155">
        <f>TTEST(B2:B18, B19:B30, 1, 3)</f>
        <v>8.1742743429670001E-2</v>
      </c>
      <c r="H7" s="152"/>
      <c r="I7" s="153"/>
    </row>
    <row r="8" spans="1:11" x14ac:dyDescent="0.25">
      <c r="A8" s="119">
        <f>distals!G8</f>
        <v>41493</v>
      </c>
      <c r="B8">
        <f>distals!CO9</f>
        <v>0</v>
      </c>
      <c r="F8" s="65"/>
      <c r="G8" s="118"/>
      <c r="H8" s="118"/>
      <c r="I8" s="105"/>
    </row>
    <row r="9" spans="1:11" x14ac:dyDescent="0.25">
      <c r="A9" s="119">
        <f>distals!G9</f>
        <v>41641</v>
      </c>
      <c r="B9">
        <f>distals!CO10</f>
        <v>0</v>
      </c>
    </row>
    <row r="10" spans="1:11" x14ac:dyDescent="0.25">
      <c r="A10" s="119">
        <f>distals!G10</f>
        <v>41662</v>
      </c>
      <c r="B10">
        <f>distals!CO11</f>
        <v>0</v>
      </c>
    </row>
    <row r="11" spans="1:11" x14ac:dyDescent="0.25">
      <c r="A11" s="119">
        <f>distals!G11</f>
        <v>41662</v>
      </c>
      <c r="B11">
        <f>distals!CO12</f>
        <v>0</v>
      </c>
    </row>
    <row r="12" spans="1:11" x14ac:dyDescent="0.25">
      <c r="A12" s="119">
        <f>distals!G12</f>
        <v>41663</v>
      </c>
      <c r="B12">
        <f>distals!CO13</f>
        <v>0</v>
      </c>
    </row>
    <row r="13" spans="1:11" x14ac:dyDescent="0.25">
      <c r="A13" s="119">
        <f>distals!G13</f>
        <v>41669</v>
      </c>
      <c r="B13">
        <f>distals!CO14</f>
        <v>0</v>
      </c>
    </row>
    <row r="14" spans="1:11" ht="17.25" customHeight="1" x14ac:dyDescent="0.25">
      <c r="A14" s="119">
        <f>distals!G14</f>
        <v>41698</v>
      </c>
      <c r="B14">
        <f>distals!CO15</f>
        <v>0</v>
      </c>
    </row>
    <row r="15" spans="1:11" x14ac:dyDescent="0.25">
      <c r="A15" s="119">
        <f>distals!G15</f>
        <v>41747</v>
      </c>
      <c r="B15">
        <f>distals!CO16</f>
        <v>0</v>
      </c>
    </row>
    <row r="16" spans="1:11" x14ac:dyDescent="0.25">
      <c r="A16" s="119">
        <f>distals!G16</f>
        <v>41760</v>
      </c>
      <c r="B16">
        <f>distals!CO17</f>
        <v>0</v>
      </c>
    </row>
    <row r="17" spans="1:5" x14ac:dyDescent="0.25">
      <c r="A17" s="119">
        <f>distals!G17</f>
        <v>41768</v>
      </c>
      <c r="B17">
        <f>distals!CO18</f>
        <v>0</v>
      </c>
    </row>
    <row r="18" spans="1:5" x14ac:dyDescent="0.25">
      <c r="A18" s="119">
        <f>distals!G18</f>
        <v>41781</v>
      </c>
      <c r="B18">
        <f>distals!CO20</f>
        <v>0</v>
      </c>
    </row>
    <row r="19" spans="1:5" ht="14.25" customHeight="1" x14ac:dyDescent="0.25">
      <c r="A19" s="119">
        <f>distals!G20</f>
        <v>41830</v>
      </c>
      <c r="B19">
        <f>distals!CO21</f>
        <v>0</v>
      </c>
    </row>
    <row r="20" spans="1:5" x14ac:dyDescent="0.25">
      <c r="A20" s="119">
        <f>distals!G21</f>
        <v>41844</v>
      </c>
      <c r="B20">
        <f>distals!CO22</f>
        <v>0</v>
      </c>
    </row>
    <row r="21" spans="1:5" ht="18" customHeight="1" x14ac:dyDescent="0.25">
      <c r="A21" s="119">
        <f>distals!G22</f>
        <v>41844</v>
      </c>
      <c r="B21">
        <f>distals!CO23</f>
        <v>0</v>
      </c>
    </row>
    <row r="22" spans="1:5" x14ac:dyDescent="0.25">
      <c r="A22" s="119">
        <f>distals!G23</f>
        <v>41851</v>
      </c>
      <c r="B22">
        <f>distals!CO25</f>
        <v>0</v>
      </c>
    </row>
    <row r="23" spans="1:5" x14ac:dyDescent="0.25">
      <c r="A23" s="119">
        <f>distals!G25</f>
        <v>41907</v>
      </c>
      <c r="B23">
        <f>distals!CO26</f>
        <v>0</v>
      </c>
    </row>
    <row r="24" spans="1:5" x14ac:dyDescent="0.25">
      <c r="A24" s="119">
        <f>distals!G26</f>
        <v>41935</v>
      </c>
      <c r="B24">
        <f>distals!CO27</f>
        <v>0</v>
      </c>
      <c r="E24" s="26"/>
    </row>
    <row r="25" spans="1:5" x14ac:dyDescent="0.25">
      <c r="A25" s="119">
        <f>distals!G27</f>
        <v>41935</v>
      </c>
      <c r="B25">
        <f>distals!CO28</f>
        <v>0</v>
      </c>
    </row>
    <row r="26" spans="1:5" x14ac:dyDescent="0.25">
      <c r="A26" s="119">
        <f>distals!G28</f>
        <v>41943</v>
      </c>
      <c r="B26">
        <f>distals!CO29</f>
        <v>0</v>
      </c>
    </row>
    <row r="27" spans="1:5" x14ac:dyDescent="0.25">
      <c r="A27" s="119">
        <f>distals!G29</f>
        <v>41949</v>
      </c>
      <c r="B27">
        <f>distals!CO30</f>
        <v>0</v>
      </c>
    </row>
    <row r="28" spans="1:5" x14ac:dyDescent="0.25">
      <c r="A28" s="119">
        <f>distals!G30</f>
        <v>41963</v>
      </c>
      <c r="B28">
        <f>distals!CO32</f>
        <v>0</v>
      </c>
    </row>
    <row r="29" spans="1:5" x14ac:dyDescent="0.25">
      <c r="A29" s="119">
        <f>distals!G32</f>
        <v>41984</v>
      </c>
      <c r="B29">
        <f>distals!CO33</f>
        <v>0</v>
      </c>
    </row>
    <row r="30" spans="1:5" x14ac:dyDescent="0.25">
      <c r="A30" s="119">
        <f>distals!G33</f>
        <v>42019</v>
      </c>
      <c r="B30">
        <f>distals!CO34</f>
        <v>0</v>
      </c>
    </row>
    <row r="31" spans="1:5" x14ac:dyDescent="0.25">
      <c r="A31" s="119">
        <f>distals!G34</f>
        <v>42041</v>
      </c>
      <c r="B31">
        <f>distals!CO35</f>
        <v>0</v>
      </c>
    </row>
    <row r="32" spans="1:5" x14ac:dyDescent="0.25">
      <c r="A32" s="119">
        <f>distals!G35</f>
        <v>42061</v>
      </c>
      <c r="B32">
        <f>distals!CO36</f>
        <v>0</v>
      </c>
    </row>
    <row r="33" spans="1:6" x14ac:dyDescent="0.25">
      <c r="A33" s="119">
        <f>distals!G36</f>
        <v>42068</v>
      </c>
      <c r="B33">
        <f>distals!CO37</f>
        <v>0</v>
      </c>
    </row>
    <row r="34" spans="1:6" x14ac:dyDescent="0.25">
      <c r="A34" s="119">
        <f>distals!G37</f>
        <v>42082</v>
      </c>
      <c r="B34">
        <f>distals!CO38</f>
        <v>1</v>
      </c>
    </row>
    <row r="35" spans="1:6" x14ac:dyDescent="0.25">
      <c r="A35" s="119">
        <f>distals!G38</f>
        <v>42110</v>
      </c>
      <c r="B35">
        <f>distals!CO39</f>
        <v>0</v>
      </c>
    </row>
    <row r="37" spans="1:6" x14ac:dyDescent="0.25">
      <c r="F37" s="228"/>
    </row>
    <row r="44" spans="1:6" s="1" customFormat="1" x14ac:dyDescent="0.25">
      <c r="A44" s="3"/>
    </row>
    <row r="45" spans="1:6" s="1" customFormat="1" x14ac:dyDescent="0.25">
      <c r="A45" s="3"/>
    </row>
    <row r="46" spans="1:6" s="1" customFormat="1" x14ac:dyDescent="0.25">
      <c r="A46" s="3"/>
    </row>
    <row r="47" spans="1:6" s="1" customFormat="1" x14ac:dyDescent="0.25">
      <c r="A47" s="3"/>
    </row>
    <row r="48" spans="1:6" s="1" customFormat="1" x14ac:dyDescent="0.25">
      <c r="A48" s="3"/>
    </row>
    <row r="49" spans="1:1" s="1" customFormat="1" x14ac:dyDescent="0.25">
      <c r="A49" s="3"/>
    </row>
    <row r="50" spans="1:1" s="1" customFormat="1" x14ac:dyDescent="0.25">
      <c r="A50" s="3"/>
    </row>
    <row r="51" spans="1:1" s="1" customFormat="1" x14ac:dyDescent="0.25">
      <c r="A51" s="3"/>
    </row>
    <row r="52" spans="1:1" s="1" customFormat="1" x14ac:dyDescent="0.25">
      <c r="A52" s="3"/>
    </row>
    <row r="53" spans="1:1" s="1" customFormat="1" x14ac:dyDescent="0.25">
      <c r="A53" s="3"/>
    </row>
    <row r="54" spans="1:1" s="1" customFormat="1" x14ac:dyDescent="0.25">
      <c r="A54" s="3"/>
    </row>
    <row r="55" spans="1:1" s="1" customFormat="1" x14ac:dyDescent="0.25">
      <c r="A55" s="3"/>
    </row>
    <row r="56" spans="1:1" s="1" customFormat="1" x14ac:dyDescent="0.25">
      <c r="A56" s="3"/>
    </row>
    <row r="57" spans="1:1" s="1" customFormat="1" x14ac:dyDescent="0.25">
      <c r="A57" s="3"/>
    </row>
    <row r="58" spans="1:1" s="1" customFormat="1" x14ac:dyDescent="0.25">
      <c r="A58" s="3"/>
    </row>
    <row r="59" spans="1:1" s="1" customFormat="1" x14ac:dyDescent="0.25">
      <c r="A59" s="3"/>
    </row>
    <row r="60" spans="1:1" s="1" customFormat="1" x14ac:dyDescent="0.25">
      <c r="A60" s="3"/>
    </row>
    <row r="61" spans="1:1" s="1" customFormat="1" x14ac:dyDescent="0.25">
      <c r="A61" s="3"/>
    </row>
    <row r="62" spans="1:1" s="1" customFormat="1" x14ac:dyDescent="0.25">
      <c r="A62" s="3"/>
    </row>
    <row r="63" spans="1:1" s="1" customFormat="1" x14ac:dyDescent="0.25">
      <c r="A63" s="3"/>
    </row>
    <row r="64" spans="1:1" s="1" customFormat="1" x14ac:dyDescent="0.25">
      <c r="A64" s="3"/>
    </row>
    <row r="65" spans="1:1" s="1" customFormat="1" x14ac:dyDescent="0.25">
      <c r="A65" s="3"/>
    </row>
    <row r="66" spans="1:1" s="1" customFormat="1" x14ac:dyDescent="0.25">
      <c r="A66" s="3"/>
    </row>
    <row r="67" spans="1:1" s="1" customFormat="1" x14ac:dyDescent="0.25">
      <c r="A67" s="3"/>
    </row>
    <row r="68" spans="1:1" s="1" customFormat="1" x14ac:dyDescent="0.25">
      <c r="A68" s="3"/>
    </row>
    <row r="69" spans="1:1" s="1" customFormat="1" x14ac:dyDescent="0.25">
      <c r="A69" s="3"/>
    </row>
    <row r="70" spans="1:1" s="1" customFormat="1" x14ac:dyDescent="0.25">
      <c r="A70" s="3"/>
    </row>
    <row r="71" spans="1:1" s="1" customFormat="1" x14ac:dyDescent="0.25">
      <c r="A71" s="3"/>
    </row>
    <row r="72" spans="1:1" s="1" customFormat="1" x14ac:dyDescent="0.25">
      <c r="A72" s="3"/>
    </row>
    <row r="73" spans="1:1" s="1" customFormat="1" x14ac:dyDescent="0.25">
      <c r="A73" s="3"/>
    </row>
    <row r="74" spans="1:1" s="1" customFormat="1" x14ac:dyDescent="0.25">
      <c r="A74" s="3"/>
    </row>
    <row r="75" spans="1:1" s="1" customFormat="1" x14ac:dyDescent="0.25">
      <c r="A75" s="3"/>
    </row>
    <row r="76" spans="1:1" s="1" customFormat="1" x14ac:dyDescent="0.25">
      <c r="A76" s="3"/>
    </row>
    <row r="77" spans="1:1" s="1" customFormat="1" x14ac:dyDescent="0.25">
      <c r="A77" s="3"/>
    </row>
    <row r="78" spans="1:1" s="1" customFormat="1" x14ac:dyDescent="0.25">
      <c r="A78" s="3"/>
    </row>
    <row r="79" spans="1:1" s="1" customFormat="1" x14ac:dyDescent="0.25">
      <c r="A79" s="3"/>
    </row>
    <row r="80" spans="1:1" s="1" customFormat="1" x14ac:dyDescent="0.25">
      <c r="A80" s="3"/>
    </row>
    <row r="81" spans="1:1" s="1" customFormat="1" x14ac:dyDescent="0.25">
      <c r="A81" s="3"/>
    </row>
    <row r="82" spans="1:1" s="1" customFormat="1" x14ac:dyDescent="0.25">
      <c r="A82" s="3"/>
    </row>
    <row r="83" spans="1:1" s="1" customFormat="1" x14ac:dyDescent="0.25">
      <c r="A83" s="3"/>
    </row>
    <row r="84" spans="1:1" s="1" customFormat="1" x14ac:dyDescent="0.25">
      <c r="A84" s="3"/>
    </row>
    <row r="85" spans="1:1" s="1" customFormat="1" x14ac:dyDescent="0.25">
      <c r="A85" s="3"/>
    </row>
    <row r="86" spans="1:1" s="1" customFormat="1" x14ac:dyDescent="0.25">
      <c r="A86" s="3"/>
    </row>
    <row r="87" spans="1:1" s="1" customFormat="1" x14ac:dyDescent="0.25">
      <c r="A87" s="3"/>
    </row>
    <row r="88" spans="1:1" s="1" customFormat="1" x14ac:dyDescent="0.25">
      <c r="A88" s="3"/>
    </row>
    <row r="89" spans="1:1" s="1" customFormat="1" x14ac:dyDescent="0.25">
      <c r="A89" s="3"/>
    </row>
    <row r="90" spans="1:1" s="1" customFormat="1" x14ac:dyDescent="0.25">
      <c r="A90" s="3"/>
    </row>
    <row r="91" spans="1:1" s="1" customFormat="1" x14ac:dyDescent="0.25">
      <c r="A91" s="3"/>
    </row>
    <row r="92" spans="1:1" s="1" customFormat="1" x14ac:dyDescent="0.25">
      <c r="A92" s="3"/>
    </row>
    <row r="93" spans="1:1" s="1" customFormat="1" x14ac:dyDescent="0.25">
      <c r="A93" s="3"/>
    </row>
    <row r="94" spans="1:1" s="1" customFormat="1" x14ac:dyDescent="0.25">
      <c r="A94" s="3"/>
    </row>
    <row r="95" spans="1:1" s="1" customFormat="1" x14ac:dyDescent="0.25">
      <c r="A95" s="3"/>
    </row>
    <row r="96" spans="1:1" s="1" customFormat="1" x14ac:dyDescent="0.25">
      <c r="A96" s="3"/>
    </row>
    <row r="97" spans="1:1" s="1" customFormat="1" x14ac:dyDescent="0.25">
      <c r="A97" s="3"/>
    </row>
    <row r="98" spans="1:1" s="1" customFormat="1" x14ac:dyDescent="0.25">
      <c r="A98" s="3"/>
    </row>
    <row r="99" spans="1:1" s="1" customFormat="1" x14ac:dyDescent="0.25">
      <c r="A99" s="3"/>
    </row>
    <row r="100" spans="1:1" s="1" customFormat="1" x14ac:dyDescent="0.25">
      <c r="A100" s="3"/>
    </row>
    <row r="101" spans="1:1" s="1" customFormat="1" x14ac:dyDescent="0.25">
      <c r="A101" s="3"/>
    </row>
    <row r="102" spans="1:1" s="1" customFormat="1" x14ac:dyDescent="0.25">
      <c r="A102" s="3"/>
    </row>
    <row r="103" spans="1:1" s="1" customFormat="1" x14ac:dyDescent="0.25">
      <c r="A103" s="3"/>
    </row>
    <row r="104" spans="1:1" s="1" customFormat="1" x14ac:dyDescent="0.25">
      <c r="A104" s="3"/>
    </row>
    <row r="105" spans="1:1" s="1" customFormat="1" x14ac:dyDescent="0.25">
      <c r="A105" s="3"/>
    </row>
    <row r="106" spans="1:1" s="1" customFormat="1" x14ac:dyDescent="0.25">
      <c r="A106" s="3"/>
    </row>
    <row r="107" spans="1:1" s="1" customFormat="1" x14ac:dyDescent="0.25">
      <c r="A107" s="3"/>
    </row>
    <row r="108" spans="1:1" s="1" customFormat="1" x14ac:dyDescent="0.25">
      <c r="A108" s="3"/>
    </row>
    <row r="109" spans="1:1" s="1" customFormat="1" x14ac:dyDescent="0.25">
      <c r="A109" s="3"/>
    </row>
    <row r="110" spans="1:1" s="1" customFormat="1" x14ac:dyDescent="0.25">
      <c r="A110" s="3"/>
    </row>
    <row r="111" spans="1:1" s="1" customFormat="1" x14ac:dyDescent="0.25">
      <c r="A111" s="3"/>
    </row>
    <row r="112" spans="1:1" s="1" customFormat="1" x14ac:dyDescent="0.25">
      <c r="A112" s="3"/>
    </row>
    <row r="113" spans="1:1" s="1" customFormat="1" x14ac:dyDescent="0.25">
      <c r="A113" s="3"/>
    </row>
    <row r="114" spans="1:1" s="1" customFormat="1" x14ac:dyDescent="0.25">
      <c r="A114" s="3"/>
    </row>
    <row r="115" spans="1:1" s="1" customFormat="1" x14ac:dyDescent="0.25">
      <c r="A115" s="3"/>
    </row>
    <row r="116" spans="1:1" s="1" customFormat="1" x14ac:dyDescent="0.25">
      <c r="A116" s="3"/>
    </row>
    <row r="117" spans="1:1" s="1" customFormat="1" x14ac:dyDescent="0.25">
      <c r="A117" s="3"/>
    </row>
    <row r="118" spans="1:1" s="1" customFormat="1" x14ac:dyDescent="0.25">
      <c r="A118" s="3"/>
    </row>
    <row r="119" spans="1:1" s="1" customFormat="1" x14ac:dyDescent="0.25">
      <c r="A119" s="3"/>
    </row>
    <row r="120" spans="1:1" s="1" customFormat="1" x14ac:dyDescent="0.25">
      <c r="A120" s="3"/>
    </row>
    <row r="121" spans="1:1" s="1" customFormat="1" x14ac:dyDescent="0.25">
      <c r="A121" s="3"/>
    </row>
    <row r="122" spans="1:1" s="1" customFormat="1" x14ac:dyDescent="0.25">
      <c r="A122" s="3"/>
    </row>
    <row r="123" spans="1:1" s="1" customFormat="1" x14ac:dyDescent="0.25">
      <c r="A123" s="3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opLeftCell="A19" workbookViewId="0">
      <selection activeCell="H24" sqref="H24"/>
    </sheetView>
  </sheetViews>
  <sheetFormatPr defaultRowHeight="15.75" x14ac:dyDescent="0.25"/>
  <cols>
    <col min="1" max="1" width="12.125" customWidth="1"/>
    <col min="2" max="4" width="19" customWidth="1"/>
    <col min="5" max="5" width="22.375" customWidth="1"/>
    <col min="6" max="6" width="11.25" customWidth="1"/>
    <col min="7" max="7" width="11.125" customWidth="1"/>
    <col min="8" max="8" width="12" customWidth="1"/>
    <col min="9" max="9" width="10.875" customWidth="1"/>
    <col min="10" max="10" width="19" customWidth="1"/>
    <col min="11" max="11" width="17.875" customWidth="1"/>
    <col min="12" max="12" width="37.75" customWidth="1"/>
    <col min="13" max="13" width="8.625" customWidth="1"/>
    <col min="14" max="14" width="19.5" customWidth="1"/>
    <col min="15" max="15" width="12.875" style="1" customWidth="1"/>
    <col min="17" max="17" width="15.5" customWidth="1"/>
    <col min="18" max="18" width="19.125" customWidth="1"/>
    <col min="19" max="19" width="15.125" customWidth="1"/>
    <col min="20" max="20" width="13.125" customWidth="1"/>
  </cols>
  <sheetData>
    <row r="1" spans="1:14" x14ac:dyDescent="0.25">
      <c r="A1" s="119" t="s">
        <v>328</v>
      </c>
      <c r="B1" t="s">
        <v>219</v>
      </c>
      <c r="C1" t="s">
        <v>220</v>
      </c>
      <c r="H1" s="26"/>
      <c r="I1" s="26"/>
      <c r="K1" s="22"/>
      <c r="L1" s="22"/>
      <c r="M1" s="22"/>
      <c r="N1" s="1"/>
    </row>
    <row r="2" spans="1:14" ht="21" x14ac:dyDescent="0.35">
      <c r="A2" s="119">
        <f>Whipples!G2</f>
        <v>41284</v>
      </c>
      <c r="B2">
        <f>Whipples!CV2</f>
        <v>2950</v>
      </c>
      <c r="C2">
        <f>Whipples!CA2</f>
        <v>500</v>
      </c>
      <c r="E2" s="144" t="s">
        <v>365</v>
      </c>
      <c r="F2" s="144"/>
      <c r="G2" s="144"/>
      <c r="H2" s="144"/>
      <c r="I2" s="26"/>
      <c r="J2" s="144" t="s">
        <v>259</v>
      </c>
      <c r="K2" s="144"/>
      <c r="L2" s="144"/>
      <c r="M2" s="1"/>
      <c r="N2" s="1"/>
    </row>
    <row r="3" spans="1:14" ht="21" x14ac:dyDescent="0.35">
      <c r="A3" s="119">
        <f>Whipples!G3</f>
        <v>41291</v>
      </c>
      <c r="B3">
        <f>Whipples!CV3</f>
        <v>5400</v>
      </c>
      <c r="C3">
        <f>Whipples!CA3</f>
        <v>750</v>
      </c>
      <c r="E3" s="158"/>
      <c r="F3" s="159"/>
      <c r="G3" s="145"/>
      <c r="H3" s="145"/>
      <c r="I3" s="26"/>
      <c r="J3" s="145" t="s">
        <v>245</v>
      </c>
      <c r="K3" s="145" t="s">
        <v>219</v>
      </c>
      <c r="L3" s="145" t="s">
        <v>220</v>
      </c>
      <c r="M3" s="1"/>
      <c r="N3" s="1"/>
    </row>
    <row r="4" spans="1:14" ht="21" x14ac:dyDescent="0.35">
      <c r="A4" s="119">
        <f>Whipples!G4</f>
        <v>41298</v>
      </c>
      <c r="B4">
        <f>Whipples!CV4</f>
        <v>3500</v>
      </c>
      <c r="C4">
        <f>Whipples!CA4</f>
        <v>0</v>
      </c>
      <c r="E4" s="120" t="s">
        <v>245</v>
      </c>
      <c r="F4" s="120" t="s">
        <v>211</v>
      </c>
      <c r="G4" s="120" t="s">
        <v>210</v>
      </c>
      <c r="H4" s="160" t="s">
        <v>217</v>
      </c>
      <c r="I4" s="26"/>
      <c r="J4" s="144" t="s">
        <v>210</v>
      </c>
      <c r="K4" s="169">
        <f>AVERAGE(Whipples!$CV$45:$CV$999)</f>
        <v>4398.05</v>
      </c>
      <c r="L4" s="169">
        <f>AVERAGE(Whipples!$CA$45:$CA$999)</f>
        <v>1100</v>
      </c>
      <c r="M4" s="18"/>
    </row>
    <row r="5" spans="1:14" ht="21" x14ac:dyDescent="0.35">
      <c r="A5" s="119">
        <f>Whipples!G5</f>
        <v>41326</v>
      </c>
      <c r="B5">
        <f>Whipples!CV5</f>
        <v>4450</v>
      </c>
      <c r="C5">
        <f>Whipples!CA5</f>
        <v>500</v>
      </c>
      <c r="E5" s="146" t="s">
        <v>216</v>
      </c>
      <c r="F5" s="161">
        <f>COUNTA(Whipples!$CV$2:$CV$43)</f>
        <v>39</v>
      </c>
      <c r="G5" s="161">
        <f>COUNTA(Whipples!$CV$45:$CV$1003)</f>
        <v>20</v>
      </c>
      <c r="H5" s="162"/>
      <c r="I5" s="28"/>
      <c r="J5" s="144" t="s">
        <v>211</v>
      </c>
      <c r="K5" s="169">
        <f>AVERAGE(Whipples!$CV$2:$CV$43)</f>
        <v>4462.8205128205127</v>
      </c>
      <c r="L5" s="169">
        <f>AVERAGE(Whipples!$CA$2:$CA$43)</f>
        <v>750</v>
      </c>
    </row>
    <row r="6" spans="1:14" ht="21" x14ac:dyDescent="0.35">
      <c r="A6" s="119">
        <f>Whipples!G6</f>
        <v>41327</v>
      </c>
      <c r="B6">
        <f>Whipples!CV6</f>
        <v>6400</v>
      </c>
      <c r="C6">
        <f>Whipples!CA6</f>
        <v>750</v>
      </c>
      <c r="E6" s="146" t="s">
        <v>146</v>
      </c>
      <c r="F6" s="161">
        <f>AVERAGE(Whipples!$CV$2:$CV$43)</f>
        <v>4462.8205128205127</v>
      </c>
      <c r="G6" s="161">
        <f>AVERAGE(Whipples!$CV$45:$CV$1003)</f>
        <v>4398.05</v>
      </c>
      <c r="H6" s="161">
        <f>F6-G6</f>
        <v>64.770512820512522</v>
      </c>
      <c r="I6" s="27"/>
    </row>
    <row r="7" spans="1:14" ht="21" x14ac:dyDescent="0.35">
      <c r="A7" s="119">
        <f>Whipples!G7</f>
        <v>41354</v>
      </c>
      <c r="B7">
        <f>Whipples!CV7</f>
        <v>2500</v>
      </c>
      <c r="C7">
        <f>Whipples!CA7</f>
        <v>750</v>
      </c>
      <c r="E7" s="146" t="s">
        <v>147</v>
      </c>
      <c r="F7" s="161">
        <f>MEDIAN(Whipples!$CV$2:$CV$43)</f>
        <v>4400</v>
      </c>
      <c r="G7" s="161">
        <f>MEDIAN(Whipples!$CV$45:$CV$1003)</f>
        <v>4240.5</v>
      </c>
      <c r="H7" s="161">
        <f>F7-G7</f>
        <v>159.5</v>
      </c>
      <c r="I7" s="28"/>
    </row>
    <row r="8" spans="1:14" ht="21" x14ac:dyDescent="0.35">
      <c r="A8" s="119">
        <f>Whipples!G8</f>
        <v>41355</v>
      </c>
      <c r="B8">
        <f>Whipples!CV8</f>
        <v>3000</v>
      </c>
      <c r="C8">
        <f>Whipples!CA8</f>
        <v>500</v>
      </c>
      <c r="E8" s="146" t="s">
        <v>236</v>
      </c>
      <c r="F8" s="163">
        <f>STDEV(Whipples!$CV$2:$CV$43)</f>
        <v>1536.3027194807478</v>
      </c>
      <c r="G8" s="163">
        <f>STDEV(Whipples!$CV$45:$CV$1003)</f>
        <v>1257.4014756841314</v>
      </c>
      <c r="H8" s="163">
        <f>F8-G8</f>
        <v>278.90124379661643</v>
      </c>
      <c r="I8" s="29"/>
    </row>
    <row r="9" spans="1:14" ht="21" x14ac:dyDescent="0.35">
      <c r="A9" s="119">
        <f>Whipples!G9</f>
        <v>41360</v>
      </c>
      <c r="B9">
        <f>Whipples!CV9</f>
        <v>6950</v>
      </c>
      <c r="C9">
        <f>Whipples!CA9</f>
        <v>2000</v>
      </c>
      <c r="E9" s="146" t="s">
        <v>260</v>
      </c>
      <c r="F9" s="168">
        <f>TTEST(Whipples!$CV$2:$CV$43,Whipples!$CV$45:$CV$1003, 1, 3)</f>
        <v>0.43156148471248706</v>
      </c>
      <c r="G9" s="139"/>
      <c r="H9" s="140"/>
    </row>
    <row r="10" spans="1:14" x14ac:dyDescent="0.25">
      <c r="A10" s="119">
        <f>Whipples!G10</f>
        <v>41361</v>
      </c>
      <c r="B10">
        <f>Whipples!CV10</f>
        <v>5500</v>
      </c>
      <c r="C10">
        <f>Whipples!CA10</f>
        <v>750</v>
      </c>
    </row>
    <row r="11" spans="1:14" x14ac:dyDescent="0.25">
      <c r="A11" s="119">
        <f>Whipples!G11</f>
        <v>41375</v>
      </c>
      <c r="B11">
        <f>Whipples!CV11</f>
        <v>1800</v>
      </c>
      <c r="C11">
        <f>Whipples!CA11</f>
        <v>0</v>
      </c>
      <c r="I11" s="26"/>
    </row>
    <row r="12" spans="1:14" x14ac:dyDescent="0.25">
      <c r="A12" s="119">
        <f>Whipples!G12</f>
        <v>41381</v>
      </c>
      <c r="B12">
        <f>Whipples!CV12</f>
        <v>4400</v>
      </c>
      <c r="C12">
        <f>Whipples!CA12</f>
        <v>500</v>
      </c>
      <c r="I12" s="26"/>
    </row>
    <row r="13" spans="1:14" x14ac:dyDescent="0.25">
      <c r="A13" s="119">
        <f>Whipples!G13</f>
        <v>41389</v>
      </c>
      <c r="B13">
        <f>Whipples!CV13</f>
        <v>4100</v>
      </c>
      <c r="C13">
        <f>Whipples!CA13</f>
        <v>1500</v>
      </c>
      <c r="I13" s="26"/>
    </row>
    <row r="14" spans="1:14" x14ac:dyDescent="0.25">
      <c r="A14" s="119">
        <f>Whipples!G14</f>
        <v>41396</v>
      </c>
      <c r="B14">
        <f>Whipples!CV14</f>
        <v>2600</v>
      </c>
      <c r="C14">
        <f>Whipples!CA14</f>
        <v>1500</v>
      </c>
      <c r="I14" s="28"/>
    </row>
    <row r="15" spans="1:14" x14ac:dyDescent="0.25">
      <c r="A15" s="119">
        <f>Whipples!G15</f>
        <v>41402</v>
      </c>
      <c r="B15">
        <f>Whipples!CV15</f>
        <v>4500</v>
      </c>
      <c r="C15">
        <f>Whipples!CA15</f>
        <v>250</v>
      </c>
      <c r="I15" s="27"/>
    </row>
    <row r="16" spans="1:14" x14ac:dyDescent="0.25">
      <c r="A16" s="119">
        <f>Whipples!G16</f>
        <v>41403</v>
      </c>
      <c r="B16">
        <f>Whipples!CV16</f>
        <v>4400</v>
      </c>
      <c r="C16">
        <f>Whipples!CA16</f>
        <v>1000</v>
      </c>
      <c r="I16" s="28"/>
    </row>
    <row r="17" spans="1:14" x14ac:dyDescent="0.25">
      <c r="A17" s="119">
        <f>Whipples!G17</f>
        <v>41410</v>
      </c>
      <c r="B17">
        <f>Whipples!CV17</f>
        <v>2800</v>
      </c>
      <c r="C17">
        <f>Whipples!CA17</f>
        <v>500</v>
      </c>
      <c r="I17" s="29"/>
    </row>
    <row r="18" spans="1:14" x14ac:dyDescent="0.25">
      <c r="A18" s="119">
        <f>Whipples!G18</f>
        <v>41417</v>
      </c>
      <c r="B18">
        <f>Whipples!CV18</f>
        <v>0</v>
      </c>
      <c r="C18">
        <f>Whipples!CA18</f>
        <v>0</v>
      </c>
    </row>
    <row r="19" spans="1:14" x14ac:dyDescent="0.25">
      <c r="A19" s="119">
        <f>Whipples!G19</f>
        <v>41418</v>
      </c>
      <c r="B19">
        <f>Whipples!CV19</f>
        <v>5000</v>
      </c>
      <c r="C19">
        <f>Whipples!CA19</f>
        <v>750</v>
      </c>
    </row>
    <row r="20" spans="1:14" ht="21" x14ac:dyDescent="0.35">
      <c r="A20" s="119">
        <f>Whipples!G20</f>
        <v>41439</v>
      </c>
      <c r="B20">
        <f>Whipples!CV20</f>
        <v>3000</v>
      </c>
      <c r="C20">
        <f>Whipples!CA20</f>
        <v>500</v>
      </c>
      <c r="E20" s="144" t="s">
        <v>366</v>
      </c>
      <c r="F20" s="144"/>
      <c r="G20" s="144"/>
      <c r="H20" s="144"/>
    </row>
    <row r="21" spans="1:14" ht="21" x14ac:dyDescent="0.35">
      <c r="A21" s="119">
        <f>Whipples!G21</f>
        <v>41446</v>
      </c>
      <c r="B21">
        <f>Whipples!CV21</f>
        <v>5300</v>
      </c>
      <c r="C21">
        <f>Whipples!CA21</f>
        <v>1000</v>
      </c>
      <c r="E21" s="158"/>
      <c r="F21" s="159"/>
      <c r="G21" s="145"/>
      <c r="H21" s="145"/>
    </row>
    <row r="22" spans="1:14" ht="21" x14ac:dyDescent="0.35">
      <c r="A22" s="119">
        <f>Whipples!G22</f>
        <v>41452</v>
      </c>
      <c r="B22">
        <f>Whipples!CV22</f>
        <v>0</v>
      </c>
      <c r="C22">
        <f>Whipples!CA22</f>
        <v>0</v>
      </c>
      <c r="E22" s="120" t="s">
        <v>245</v>
      </c>
      <c r="F22" s="120" t="s">
        <v>211</v>
      </c>
      <c r="G22" s="120" t="s">
        <v>210</v>
      </c>
      <c r="H22" s="120" t="s">
        <v>217</v>
      </c>
      <c r="M22" s="1"/>
      <c r="N22" s="1"/>
    </row>
    <row r="23" spans="1:14" ht="21" x14ac:dyDescent="0.35">
      <c r="A23" s="119">
        <f>Whipples!G23</f>
        <v>41494</v>
      </c>
      <c r="B23">
        <f>Whipples!CV23</f>
        <v>4400</v>
      </c>
      <c r="C23">
        <f>Whipples!CA23</f>
        <v>750</v>
      </c>
      <c r="E23" s="146" t="s">
        <v>216</v>
      </c>
      <c r="F23" s="161">
        <f>COUNTA(Whipples!$CA$2:$CA$43)</f>
        <v>39</v>
      </c>
      <c r="G23" s="161">
        <f>COUNTA(Whipples!$CA$45:$CA$1003)</f>
        <v>20</v>
      </c>
      <c r="H23" s="164"/>
      <c r="M23" s="1"/>
      <c r="N23" s="1"/>
    </row>
    <row r="24" spans="1:14" ht="21" x14ac:dyDescent="0.35">
      <c r="A24" s="119">
        <f>Whipples!G24</f>
        <v>41508</v>
      </c>
      <c r="B24">
        <f>Whipples!CV24</f>
        <v>6500</v>
      </c>
      <c r="C24">
        <f>Whipples!CA24</f>
        <v>1250</v>
      </c>
      <c r="E24" s="146" t="s">
        <v>146</v>
      </c>
      <c r="F24" s="161">
        <f>AVERAGE(Whipples!$CA$2:$CA$43)</f>
        <v>750</v>
      </c>
      <c r="G24" s="161">
        <f>AVERAGE(Whipples!$CA$45:$CA$1003)</f>
        <v>1100</v>
      </c>
      <c r="H24" s="164">
        <f>ABS(F24-G24)</f>
        <v>350</v>
      </c>
      <c r="M24" s="1"/>
      <c r="N24" s="1"/>
    </row>
    <row r="25" spans="1:14" ht="21" x14ac:dyDescent="0.35">
      <c r="A25" s="119">
        <f>Whipples!G25</f>
        <v>41522</v>
      </c>
      <c r="B25">
        <f>Whipples!CV25</f>
        <v>5700</v>
      </c>
      <c r="C25">
        <f>Whipples!CA25</f>
        <v>2750</v>
      </c>
      <c r="E25" s="146" t="s">
        <v>147</v>
      </c>
      <c r="F25" s="161">
        <f>MEDIAN(Whipples!$CA$2:$CA$43)</f>
        <v>750</v>
      </c>
      <c r="G25" s="161">
        <f>MEDIAN(Whipples!$CA$45:$CA$1003)</f>
        <v>1000</v>
      </c>
      <c r="H25" s="164">
        <f>ABS(F25-G25)</f>
        <v>250</v>
      </c>
      <c r="J25" s="6"/>
      <c r="K25" s="6"/>
      <c r="L25" s="6"/>
      <c r="M25" s="6"/>
      <c r="N25" s="1"/>
    </row>
    <row r="26" spans="1:14" ht="21" x14ac:dyDescent="0.35">
      <c r="A26" s="119">
        <f>Whipples!G26</f>
        <v>41535</v>
      </c>
      <c r="B26">
        <f>Whipples!CV26</f>
        <v>5200</v>
      </c>
      <c r="C26">
        <f>Whipples!CA26</f>
        <v>750</v>
      </c>
      <c r="E26" s="146" t="s">
        <v>236</v>
      </c>
      <c r="F26" s="165">
        <f>STDEV(Whipples!$CA$2:$CA$43)</f>
        <v>590.49488611360198</v>
      </c>
      <c r="G26" s="165">
        <f>STDEV(Whipples!$CA$45:$CA$1003)</f>
        <v>625.131565099868</v>
      </c>
      <c r="H26" s="166">
        <f>F26-G26</f>
        <v>-34.63667898626602</v>
      </c>
    </row>
    <row r="27" spans="1:14" ht="21" x14ac:dyDescent="0.35">
      <c r="A27" s="119">
        <f>Whipples!G27</f>
        <v>41600</v>
      </c>
      <c r="B27">
        <f>Whipples!CV27</f>
        <v>3200</v>
      </c>
      <c r="C27">
        <f>Whipples!CA27</f>
        <v>1250</v>
      </c>
      <c r="E27" s="167" t="s">
        <v>260</v>
      </c>
      <c r="F27" s="168">
        <f>TTEST(Whipples!$CA$2:$CA$43,Whipples!$CA$45:$CA$999, 1, 3)</f>
        <v>2.2593895449211313E-2</v>
      </c>
      <c r="G27" s="139"/>
      <c r="H27" s="140"/>
    </row>
    <row r="28" spans="1:14" x14ac:dyDescent="0.25">
      <c r="A28" s="119">
        <f>Whipples!G28</f>
        <v>41619</v>
      </c>
      <c r="B28">
        <f>Whipples!CV28</f>
        <v>6600</v>
      </c>
      <c r="C28">
        <f>Whipples!CA28</f>
        <v>1250</v>
      </c>
    </row>
    <row r="29" spans="1:14" x14ac:dyDescent="0.25">
      <c r="A29" s="119">
        <f>Whipples!G29</f>
        <v>41684</v>
      </c>
      <c r="B29">
        <f>Whipples!CV29</f>
        <v>8000</v>
      </c>
      <c r="C29">
        <f>Whipples!CA29</f>
        <v>1500</v>
      </c>
    </row>
    <row r="30" spans="1:14" x14ac:dyDescent="0.25">
      <c r="A30" s="119">
        <f>Whipples!G30</f>
        <v>41697</v>
      </c>
      <c r="B30">
        <f>Whipples!CV30</f>
        <v>1950</v>
      </c>
      <c r="C30">
        <f>Whipples!CA30</f>
        <v>500</v>
      </c>
    </row>
    <row r="31" spans="1:14" x14ac:dyDescent="0.25">
      <c r="A31" s="119">
        <f>Whipples!G31</f>
        <v>41704</v>
      </c>
      <c r="B31">
        <f>Whipples!CV31</f>
        <v>2300</v>
      </c>
      <c r="C31">
        <f>Whipples!CA31</f>
        <v>500</v>
      </c>
    </row>
    <row r="32" spans="1:14" x14ac:dyDescent="0.25">
      <c r="A32" s="119">
        <f>Whipples!G32</f>
        <v>41725</v>
      </c>
      <c r="B32">
        <f>Whipples!CV32</f>
        <v>6000</v>
      </c>
      <c r="C32">
        <f>Whipples!CA32</f>
        <v>1250</v>
      </c>
    </row>
    <row r="33" spans="1:3" x14ac:dyDescent="0.25">
      <c r="A33" s="119">
        <f>Whipples!G33</f>
        <v>41732</v>
      </c>
      <c r="B33">
        <f>Whipples!CV33</f>
        <v>0</v>
      </c>
      <c r="C33">
        <f>Whipples!CA33</f>
        <v>0</v>
      </c>
    </row>
    <row r="34" spans="1:3" x14ac:dyDescent="0.25">
      <c r="A34" s="119">
        <f>Whipples!G34</f>
        <v>41733</v>
      </c>
      <c r="B34">
        <f>Whipples!CV34</f>
        <v>3700</v>
      </c>
      <c r="C34">
        <f>Whipples!CA34</f>
        <v>0</v>
      </c>
    </row>
    <row r="35" spans="1:3" x14ac:dyDescent="0.25">
      <c r="A35" s="119">
        <f>Whipples!G35</f>
        <v>41739</v>
      </c>
      <c r="B35">
        <f>Whipples!CV35</f>
        <v>4400</v>
      </c>
      <c r="C35">
        <f>Whipples!CA35</f>
        <v>0</v>
      </c>
    </row>
    <row r="36" spans="1:3" x14ac:dyDescent="0.25">
      <c r="A36" s="119">
        <f>Whipples!G36</f>
        <v>41740</v>
      </c>
      <c r="B36">
        <f>Whipples!CV36</f>
        <v>5000</v>
      </c>
      <c r="C36">
        <f>Whipples!CA36</f>
        <v>0</v>
      </c>
    </row>
    <row r="37" spans="1:3" x14ac:dyDescent="0.25">
      <c r="A37" s="119">
        <f>Whipples!G37</f>
        <v>41753</v>
      </c>
      <c r="B37">
        <f>Whipples!CV37</f>
        <v>6300</v>
      </c>
      <c r="C37">
        <f>Whipples!CA37</f>
        <v>0</v>
      </c>
    </row>
    <row r="38" spans="1:3" x14ac:dyDescent="0.25">
      <c r="A38" s="119">
        <f>Whipples!G38</f>
        <v>41754</v>
      </c>
      <c r="B38">
        <f>Whipples!CV38</f>
        <v>2400</v>
      </c>
      <c r="C38">
        <f>Whipples!CA38</f>
        <v>0</v>
      </c>
    </row>
    <row r="39" spans="1:3" x14ac:dyDescent="0.25">
      <c r="A39" s="119">
        <f>Whipples!G39</f>
        <v>41774</v>
      </c>
      <c r="B39">
        <f>Whipples!CV39</f>
        <v>6600</v>
      </c>
      <c r="C39">
        <f>Whipples!CA39</f>
        <v>1000</v>
      </c>
    </row>
    <row r="40" spans="1:3" x14ac:dyDescent="0.25">
      <c r="A40" s="119">
        <f>Whipples!G40</f>
        <v>41788</v>
      </c>
      <c r="B40">
        <f>Whipples!CV40</f>
        <v>4600</v>
      </c>
      <c r="C40">
        <f>Whipples!CA40</f>
        <v>750</v>
      </c>
    </row>
    <row r="41" spans="1:3" x14ac:dyDescent="0.25">
      <c r="A41" s="119">
        <f>Whipples!G41</f>
        <v>41795</v>
      </c>
      <c r="B41">
        <f>Whipples!CV41</f>
        <v>4650</v>
      </c>
      <c r="C41">
        <f>Whipples!CA41</f>
        <v>750</v>
      </c>
    </row>
    <row r="42" spans="1:3" x14ac:dyDescent="0.25">
      <c r="A42" s="119">
        <f>Whipples!G42</f>
        <v>41802</v>
      </c>
      <c r="B42">
        <f>Whipples!CV42</f>
        <v>4300</v>
      </c>
      <c r="C42">
        <f>Whipples!CA42</f>
        <v>500</v>
      </c>
    </row>
    <row r="43" spans="1:3" s="1" customFormat="1" x14ac:dyDescent="0.25">
      <c r="A43" s="119">
        <f>Whipples!G43</f>
        <v>41803</v>
      </c>
      <c r="B43">
        <f>Whipples!CV43</f>
        <v>3700</v>
      </c>
      <c r="C43">
        <f>Whipples!CA43</f>
        <v>500</v>
      </c>
    </row>
    <row r="44" spans="1:3" s="1" customFormat="1" x14ac:dyDescent="0.25">
      <c r="A44" s="119">
        <f>Whipples!G45</f>
        <v>41830</v>
      </c>
      <c r="B44">
        <f>Whipples!CV45</f>
        <v>3641</v>
      </c>
      <c r="C44">
        <f>Whipples!CA45</f>
        <v>1000</v>
      </c>
    </row>
    <row r="45" spans="1:3" s="1" customFormat="1" x14ac:dyDescent="0.25">
      <c r="A45" s="119">
        <f>Whipples!G46</f>
        <v>41858</v>
      </c>
      <c r="B45">
        <f>Whipples!CV46</f>
        <v>4179</v>
      </c>
      <c r="C45">
        <f>Whipples!CA46</f>
        <v>1250</v>
      </c>
    </row>
    <row r="46" spans="1:3" s="1" customFormat="1" x14ac:dyDescent="0.25">
      <c r="A46" s="119">
        <f>Whipples!G47</f>
        <v>41873</v>
      </c>
      <c r="B46">
        <f>Whipples!CV47</f>
        <v>6195</v>
      </c>
      <c r="C46">
        <f>Whipples!CA47</f>
        <v>750</v>
      </c>
    </row>
    <row r="47" spans="1:3" s="1" customFormat="1" x14ac:dyDescent="0.25">
      <c r="A47" s="119">
        <f>Whipples!G48</f>
        <v>41880</v>
      </c>
      <c r="B47">
        <f>Whipples!CV48</f>
        <v>5735</v>
      </c>
      <c r="C47">
        <f>Whipples!CA48</f>
        <v>500</v>
      </c>
    </row>
    <row r="48" spans="1:3" s="1" customFormat="1" x14ac:dyDescent="0.25">
      <c r="A48" s="119">
        <f>Whipples!G49</f>
        <v>41886</v>
      </c>
      <c r="B48">
        <f>Whipples!CV49</f>
        <v>4302</v>
      </c>
      <c r="C48">
        <f>Whipples!CA49</f>
        <v>1500</v>
      </c>
    </row>
    <row r="49" spans="1:3" s="1" customFormat="1" x14ac:dyDescent="0.25">
      <c r="A49" s="119">
        <f>Whipples!G50</f>
        <v>41887</v>
      </c>
      <c r="B49">
        <f>Whipples!CV50</f>
        <v>3922</v>
      </c>
      <c r="C49">
        <f>Whipples!CA50</f>
        <v>1250</v>
      </c>
    </row>
    <row r="50" spans="1:3" s="1" customFormat="1" x14ac:dyDescent="0.25">
      <c r="A50" s="119">
        <f>Whipples!G51</f>
        <v>41893</v>
      </c>
      <c r="B50">
        <f>Whipples!CV51</f>
        <v>4100</v>
      </c>
      <c r="C50">
        <f>Whipples!CA51</f>
        <v>750</v>
      </c>
    </row>
    <row r="51" spans="1:3" s="1" customFormat="1" x14ac:dyDescent="0.25">
      <c r="A51" s="119">
        <f>Whipples!G52</f>
        <v>41914</v>
      </c>
      <c r="B51">
        <f>Whipples!CV52</f>
        <v>5940</v>
      </c>
      <c r="C51">
        <f>Whipples!CA52</f>
        <v>1750</v>
      </c>
    </row>
    <row r="52" spans="1:3" s="1" customFormat="1" x14ac:dyDescent="0.25">
      <c r="A52" s="119">
        <f>Whipples!G53</f>
        <v>41921</v>
      </c>
      <c r="B52">
        <f>Whipples!CV53</f>
        <v>2110</v>
      </c>
      <c r="C52">
        <f>Whipples!CA53</f>
        <v>500</v>
      </c>
    </row>
    <row r="53" spans="1:3" s="1" customFormat="1" x14ac:dyDescent="0.25">
      <c r="A53" s="119">
        <f>Whipples!G54</f>
        <v>41922</v>
      </c>
      <c r="B53">
        <f>Whipples!CV54</f>
        <v>3100</v>
      </c>
      <c r="C53">
        <f>Whipples!CA54</f>
        <v>500</v>
      </c>
    </row>
    <row r="54" spans="1:3" s="1" customFormat="1" x14ac:dyDescent="0.25">
      <c r="A54" s="119">
        <f>Whipples!G55</f>
        <v>41928</v>
      </c>
      <c r="B54">
        <f>Whipples!CV55</f>
        <v>3469</v>
      </c>
      <c r="C54">
        <f>Whipples!CA55</f>
        <v>750</v>
      </c>
    </row>
    <row r="55" spans="1:3" s="1" customFormat="1" x14ac:dyDescent="0.25">
      <c r="A55" s="119">
        <f>Whipples!G57</f>
        <v>41977</v>
      </c>
      <c r="B55">
        <f>Whipples!CV57</f>
        <v>4800</v>
      </c>
      <c r="C55">
        <f>Whipples!CA57</f>
        <v>1000</v>
      </c>
    </row>
    <row r="56" spans="1:3" s="1" customFormat="1" x14ac:dyDescent="0.25">
      <c r="A56" s="119">
        <f>Whipples!G58</f>
        <v>42006</v>
      </c>
      <c r="B56">
        <f>Whipples!CV58</f>
        <v>6140</v>
      </c>
      <c r="C56">
        <f>Whipples!CA58</f>
        <v>1000</v>
      </c>
    </row>
    <row r="57" spans="1:3" x14ac:dyDescent="0.25">
      <c r="A57" s="119">
        <f>Whipples!G59</f>
        <v>42027</v>
      </c>
      <c r="B57">
        <f>Whipples!CV59</f>
        <v>4700</v>
      </c>
      <c r="C57">
        <f>Whipples!CA59</f>
        <v>500</v>
      </c>
    </row>
    <row r="58" spans="1:3" x14ac:dyDescent="0.25">
      <c r="A58" s="119">
        <f>Whipples!G60</f>
        <v>42033</v>
      </c>
      <c r="B58">
        <f>Whipples!CV60</f>
        <v>3725</v>
      </c>
      <c r="C58">
        <f>Whipples!CA60</f>
        <v>500</v>
      </c>
    </row>
    <row r="59" spans="1:3" x14ac:dyDescent="0.25">
      <c r="A59" s="119">
        <f>Whipples!G61</f>
        <v>42034</v>
      </c>
      <c r="B59">
        <f>Whipples!CV61</f>
        <v>3360</v>
      </c>
      <c r="C59">
        <f>Whipples!CA61</f>
        <v>1000</v>
      </c>
    </row>
    <row r="60" spans="1:3" x14ac:dyDescent="0.25">
      <c r="A60" s="119">
        <f>Whipples!G62</f>
        <v>42040</v>
      </c>
      <c r="B60">
        <f>Whipples!CV62</f>
        <v>2416</v>
      </c>
      <c r="C60">
        <f>Whipples!CA62</f>
        <v>2000</v>
      </c>
    </row>
    <row r="61" spans="1:3" x14ac:dyDescent="0.25">
      <c r="A61" s="119">
        <f>Whipples!G63</f>
        <v>42075</v>
      </c>
      <c r="B61">
        <f>Whipples!CV63</f>
        <v>5050</v>
      </c>
      <c r="C61">
        <f>Whipples!CA63</f>
        <v>1500</v>
      </c>
    </row>
    <row r="62" spans="1:3" x14ac:dyDescent="0.25">
      <c r="A62" s="119">
        <f>Whipples!G64</f>
        <v>42111</v>
      </c>
      <c r="B62">
        <f>Whipples!CV64</f>
        <v>6574</v>
      </c>
      <c r="C62">
        <f>Whipples!CA64</f>
        <v>1000</v>
      </c>
    </row>
    <row r="63" spans="1:3" x14ac:dyDescent="0.25">
      <c r="A63" s="119"/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opLeftCell="A10" workbookViewId="0">
      <selection activeCell="F25" sqref="F25"/>
    </sheetView>
  </sheetViews>
  <sheetFormatPr defaultRowHeight="15.75" x14ac:dyDescent="0.25"/>
  <cols>
    <col min="1" max="1" width="12.375" style="119" customWidth="1"/>
    <col min="2" max="2" width="10.875" customWidth="1"/>
    <col min="3" max="4" width="10.375" customWidth="1"/>
    <col min="5" max="5" width="23.875" customWidth="1"/>
    <col min="6" max="6" width="10.875" bestFit="1" customWidth="1"/>
    <col min="8" max="8" width="12.25" customWidth="1"/>
    <col min="10" max="10" width="10.875" customWidth="1"/>
    <col min="11" max="11" width="7.625" customWidth="1"/>
    <col min="12" max="12" width="11.125" customWidth="1"/>
  </cols>
  <sheetData>
    <row r="1" spans="1:12" x14ac:dyDescent="0.25">
      <c r="A1" s="119" t="s">
        <v>328</v>
      </c>
      <c r="B1" t="s">
        <v>219</v>
      </c>
      <c r="C1" t="s">
        <v>220</v>
      </c>
    </row>
    <row r="2" spans="1:12" x14ac:dyDescent="0.25">
      <c r="A2" s="119">
        <f>distals!G2</f>
        <v>41313</v>
      </c>
      <c r="B2">
        <f>distals!CV2</f>
        <v>2200</v>
      </c>
      <c r="C2">
        <f>distals!CA2</f>
        <v>0</v>
      </c>
    </row>
    <row r="3" spans="1:12" ht="21" x14ac:dyDescent="0.35">
      <c r="A3" s="119">
        <f>distals!G3</f>
        <v>41382</v>
      </c>
      <c r="B3">
        <f>distals!CV3</f>
        <v>2900</v>
      </c>
      <c r="C3">
        <f>distals!CA3</f>
        <v>1000</v>
      </c>
      <c r="E3" s="144" t="s">
        <v>219</v>
      </c>
      <c r="F3" s="144"/>
      <c r="G3" s="144"/>
      <c r="H3" s="144"/>
    </row>
    <row r="4" spans="1:12" ht="21" x14ac:dyDescent="0.35">
      <c r="A4" s="119">
        <f>distals!G4</f>
        <v>41410</v>
      </c>
      <c r="B4">
        <f>distals!CV4</f>
        <v>1800</v>
      </c>
      <c r="C4">
        <f>distals!CA4</f>
        <v>0</v>
      </c>
      <c r="E4" s="158"/>
      <c r="F4" s="159"/>
      <c r="G4" s="145"/>
      <c r="H4" s="145"/>
    </row>
    <row r="5" spans="1:12" ht="21" x14ac:dyDescent="0.35">
      <c r="A5" s="119">
        <f>distals!G5</f>
        <v>41411</v>
      </c>
      <c r="B5">
        <f>distals!CV5</f>
        <v>3400</v>
      </c>
      <c r="C5">
        <f>distals!CA5</f>
        <v>2250</v>
      </c>
      <c r="E5" s="120" t="s">
        <v>246</v>
      </c>
      <c r="F5" s="120" t="s">
        <v>211</v>
      </c>
      <c r="G5" s="120" t="s">
        <v>210</v>
      </c>
      <c r="H5" s="160" t="s">
        <v>217</v>
      </c>
    </row>
    <row r="6" spans="1:12" ht="21" x14ac:dyDescent="0.35">
      <c r="A6" s="119">
        <f>distals!G6</f>
        <v>41424</v>
      </c>
      <c r="B6">
        <f>distals!CV6</f>
        <v>1900</v>
      </c>
      <c r="C6">
        <f>distals!CA6</f>
        <v>0</v>
      </c>
      <c r="E6" s="146" t="s">
        <v>216</v>
      </c>
      <c r="F6" s="161">
        <f>COUNTA(distals!$CV$2:$CV$18)</f>
        <v>17</v>
      </c>
      <c r="G6" s="161">
        <f>COUNTA(distals!$CV$20:$CV$1000)</f>
        <v>19</v>
      </c>
      <c r="H6" s="161"/>
    </row>
    <row r="7" spans="1:12" ht="21" x14ac:dyDescent="0.35">
      <c r="A7" s="119">
        <f>distals!G7</f>
        <v>41437</v>
      </c>
      <c r="B7">
        <f>distals!CV7</f>
        <v>5350</v>
      </c>
      <c r="C7">
        <f>distals!CA7</f>
        <v>500</v>
      </c>
      <c r="E7" s="146" t="s">
        <v>146</v>
      </c>
      <c r="F7" s="161">
        <f>AVERAGE(distals!$CV$2:$CV$18)</f>
        <v>2988.2352941176468</v>
      </c>
      <c r="G7" s="161">
        <f>AVERAGE(distals!$CV$20:$CV$1000)</f>
        <v>2691.3947368421054</v>
      </c>
      <c r="H7" s="161">
        <f>G7-F7</f>
        <v>-296.84055727554141</v>
      </c>
    </row>
    <row r="8" spans="1:12" ht="21" x14ac:dyDescent="0.35">
      <c r="A8" s="119">
        <f>distals!G8</f>
        <v>41493</v>
      </c>
      <c r="B8">
        <f>distals!CV8</f>
        <v>3500</v>
      </c>
      <c r="C8">
        <f>distals!CA8</f>
        <v>1000</v>
      </c>
      <c r="E8" s="146" t="s">
        <v>147</v>
      </c>
      <c r="F8" s="161">
        <f>MEDIAN(distals!$CV$2:$CV$18)</f>
        <v>2900</v>
      </c>
      <c r="G8" s="161">
        <f>MEDIAN(distals!$CV$20:$CV$1000)</f>
        <v>2700</v>
      </c>
      <c r="H8" s="161">
        <f>G8-F8</f>
        <v>-200</v>
      </c>
    </row>
    <row r="9" spans="1:12" ht="21" x14ac:dyDescent="0.35">
      <c r="A9" s="119">
        <f>distals!G9</f>
        <v>41641</v>
      </c>
      <c r="B9">
        <f>distals!CV9</f>
        <v>1500</v>
      </c>
      <c r="C9">
        <f>distals!CA9</f>
        <v>0</v>
      </c>
      <c r="E9" s="146" t="s">
        <v>236</v>
      </c>
      <c r="F9" s="163">
        <f>STDEV(distals!$CV$2:$CV$18)</f>
        <v>1292.1069774505788</v>
      </c>
      <c r="G9" s="163">
        <f>STDEV(distals!$CV$20:$CV$1000)</f>
        <v>897.139944783597</v>
      </c>
      <c r="H9" s="163">
        <f>G9-F9</f>
        <v>-394.96703266698182</v>
      </c>
    </row>
    <row r="10" spans="1:12" ht="21" x14ac:dyDescent="0.35">
      <c r="A10" s="119">
        <f>distals!G10</f>
        <v>41662</v>
      </c>
      <c r="B10">
        <f>distals!CV10</f>
        <v>3000</v>
      </c>
      <c r="C10">
        <f>distals!CA10</f>
        <v>500</v>
      </c>
      <c r="E10" s="146" t="s">
        <v>260</v>
      </c>
      <c r="F10" s="170">
        <f>TTEST(distals!$CV$2:$CV$18,distals!$CV$20:$CV$1000, 1, 3)</f>
        <v>0.21757175549511648</v>
      </c>
      <c r="G10" s="120"/>
      <c r="H10" s="140"/>
    </row>
    <row r="11" spans="1:12" x14ac:dyDescent="0.25">
      <c r="A11" s="119">
        <f>distals!G11</f>
        <v>41662</v>
      </c>
      <c r="B11">
        <f>distals!CV11</f>
        <v>2700</v>
      </c>
      <c r="C11">
        <f>distals!CA11</f>
        <v>0</v>
      </c>
    </row>
    <row r="12" spans="1:12" x14ac:dyDescent="0.25">
      <c r="A12" s="119">
        <f>distals!G12</f>
        <v>41663</v>
      </c>
      <c r="B12">
        <f>distals!CV12</f>
        <v>2000</v>
      </c>
      <c r="C12">
        <f>distals!CA12</f>
        <v>0</v>
      </c>
    </row>
    <row r="13" spans="1:12" ht="21" x14ac:dyDescent="0.35">
      <c r="A13" s="119">
        <f>distals!G13</f>
        <v>41669</v>
      </c>
      <c r="B13">
        <f>distals!CV13</f>
        <v>1600</v>
      </c>
      <c r="C13">
        <f>distals!CA13</f>
        <v>0</v>
      </c>
      <c r="J13" s="144" t="s">
        <v>259</v>
      </c>
      <c r="K13" s="144"/>
      <c r="L13" s="144"/>
    </row>
    <row r="14" spans="1:12" ht="21" x14ac:dyDescent="0.35">
      <c r="A14" s="119">
        <f>distals!G14</f>
        <v>41698</v>
      </c>
      <c r="B14">
        <f>distals!CV14</f>
        <v>1600</v>
      </c>
      <c r="C14">
        <f>distals!CA14</f>
        <v>250</v>
      </c>
      <c r="J14" s="145" t="s">
        <v>246</v>
      </c>
      <c r="K14" s="145" t="s">
        <v>219</v>
      </c>
      <c r="L14" s="145" t="s">
        <v>220</v>
      </c>
    </row>
    <row r="15" spans="1:12" ht="21" x14ac:dyDescent="0.35">
      <c r="A15" s="119">
        <f>distals!G15</f>
        <v>41747</v>
      </c>
      <c r="B15">
        <f>distals!CV15</f>
        <v>4150</v>
      </c>
      <c r="C15">
        <f>distals!CA15</f>
        <v>0</v>
      </c>
      <c r="J15" s="169" t="s">
        <v>210</v>
      </c>
      <c r="K15" s="169">
        <f>AVERAGE(distals!$CV$20:$CV$1000)</f>
        <v>2691.3947368421054</v>
      </c>
      <c r="L15" s="169">
        <f>AVERAGEIF(distals!$C$20:$C$116,"Distal",distals!$CA$20:$CA$116)</f>
        <v>638.88888888888891</v>
      </c>
    </row>
    <row r="16" spans="1:12" ht="21" x14ac:dyDescent="0.35">
      <c r="A16" s="119">
        <f>distals!G16</f>
        <v>41760</v>
      </c>
      <c r="B16">
        <f>distals!CV16</f>
        <v>3900</v>
      </c>
      <c r="C16">
        <f>distals!CA16</f>
        <v>0</v>
      </c>
      <c r="J16" s="144" t="s">
        <v>211</v>
      </c>
      <c r="K16" s="169">
        <f>AVERAGE(distals!$CV$2:$CV$18)</f>
        <v>2988.2352941176468</v>
      </c>
      <c r="L16" s="169">
        <f>AVERAGE(distals!$CA$2:$CA$18)</f>
        <v>367.64705882352939</v>
      </c>
    </row>
    <row r="17" spans="1:8" x14ac:dyDescent="0.25">
      <c r="A17" s="119">
        <f>distals!G17</f>
        <v>41768</v>
      </c>
      <c r="B17">
        <f>distals!CV17</f>
        <v>5800</v>
      </c>
      <c r="C17">
        <f>distals!CA17</f>
        <v>750</v>
      </c>
    </row>
    <row r="18" spans="1:8" x14ac:dyDescent="0.25">
      <c r="A18" s="119">
        <f>distals!G18</f>
        <v>41781</v>
      </c>
      <c r="B18">
        <f>distals!CV18</f>
        <v>3500</v>
      </c>
      <c r="C18">
        <f>distals!CA18</f>
        <v>0</v>
      </c>
    </row>
    <row r="19" spans="1:8" x14ac:dyDescent="0.25">
      <c r="A19" s="119">
        <f>distals!G20</f>
        <v>41830</v>
      </c>
      <c r="B19">
        <f>distals!CV20</f>
        <v>2137.1999999999998</v>
      </c>
      <c r="C19">
        <f>distals!CA20</f>
        <v>0</v>
      </c>
    </row>
    <row r="20" spans="1:8" x14ac:dyDescent="0.25">
      <c r="A20" s="119">
        <f>distals!G21</f>
        <v>41844</v>
      </c>
      <c r="B20">
        <f>distals!CV21</f>
        <v>2421.6999999999998</v>
      </c>
      <c r="C20">
        <f>distals!CA21</f>
        <v>0</v>
      </c>
    </row>
    <row r="21" spans="1:8" ht="21" x14ac:dyDescent="0.35">
      <c r="A21" s="119">
        <f>distals!G22</f>
        <v>41844</v>
      </c>
      <c r="B21">
        <f>distals!CV22</f>
        <v>1737</v>
      </c>
      <c r="C21">
        <f>distals!CA22</f>
        <v>500</v>
      </c>
      <c r="E21" s="144" t="s">
        <v>220</v>
      </c>
      <c r="F21" s="144"/>
      <c r="G21" s="144"/>
      <c r="H21" s="144"/>
    </row>
    <row r="22" spans="1:8" ht="21" x14ac:dyDescent="0.35">
      <c r="A22" s="119">
        <f>distals!G23</f>
        <v>41851</v>
      </c>
      <c r="B22">
        <f>distals!CV23</f>
        <v>4300</v>
      </c>
      <c r="C22">
        <f>distals!CA23</f>
        <v>750</v>
      </c>
      <c r="E22" s="158"/>
      <c r="F22" s="159"/>
      <c r="G22" s="145"/>
      <c r="H22" s="145"/>
    </row>
    <row r="23" spans="1:8" ht="21" x14ac:dyDescent="0.35">
      <c r="A23" s="119">
        <f>distals!G25</f>
        <v>41907</v>
      </c>
      <c r="B23">
        <f>distals!CV25</f>
        <v>2800</v>
      </c>
      <c r="C23">
        <f>distals!CA25</f>
        <v>0</v>
      </c>
      <c r="E23" s="120" t="s">
        <v>246</v>
      </c>
      <c r="F23" s="120" t="s">
        <v>211</v>
      </c>
      <c r="G23" s="120" t="s">
        <v>210</v>
      </c>
      <c r="H23" s="120" t="s">
        <v>217</v>
      </c>
    </row>
    <row r="24" spans="1:8" ht="21" x14ac:dyDescent="0.35">
      <c r="A24" s="119">
        <f>distals!G26</f>
        <v>41935</v>
      </c>
      <c r="B24">
        <f>distals!CV26</f>
        <v>3050</v>
      </c>
      <c r="C24">
        <f>distals!CA26</f>
        <v>750</v>
      </c>
      <c r="E24" s="146" t="s">
        <v>216</v>
      </c>
      <c r="F24" s="161">
        <f>COUNTA(distals!$CA$2:$CA$18)</f>
        <v>17</v>
      </c>
      <c r="G24" s="161">
        <f>COUNTA(distals!$CA$20:$CA$1000)</f>
        <v>19</v>
      </c>
      <c r="H24" s="164"/>
    </row>
    <row r="25" spans="1:8" ht="21" x14ac:dyDescent="0.35">
      <c r="A25" s="119">
        <f>distals!G27</f>
        <v>41935</v>
      </c>
      <c r="B25">
        <f>distals!CV27</f>
        <v>1950</v>
      </c>
      <c r="C25">
        <f>distals!CA27</f>
        <v>0</v>
      </c>
      <c r="E25" s="146" t="s">
        <v>146</v>
      </c>
      <c r="F25" s="161">
        <f>AVERAGE(distals!$CA$2:$CA$18)</f>
        <v>367.64705882352939</v>
      </c>
      <c r="G25" s="161">
        <f>AVERAGE(distals!$CA$20:$CA$1000)</f>
        <v>644.73684210526312</v>
      </c>
      <c r="H25" s="164">
        <f>ABS(F25-G25)</f>
        <v>277.08978328173373</v>
      </c>
    </row>
    <row r="26" spans="1:8" ht="21" x14ac:dyDescent="0.35">
      <c r="A26" s="119">
        <f>distals!G28</f>
        <v>41943</v>
      </c>
      <c r="B26">
        <f>distals!CV28</f>
        <v>1888</v>
      </c>
      <c r="C26">
        <f>distals!CA28</f>
        <v>1750</v>
      </c>
      <c r="E26" s="146" t="s">
        <v>147</v>
      </c>
      <c r="F26" s="161">
        <f>MEDIAN(distals!$CA$2:$CA$18)</f>
        <v>0</v>
      </c>
      <c r="G26" s="161">
        <f>MEDIAN(distals!$CA$20:$CA$1000)</f>
        <v>750</v>
      </c>
      <c r="H26" s="164">
        <f>ABS(F26-G26)</f>
        <v>750</v>
      </c>
    </row>
    <row r="27" spans="1:8" ht="21" x14ac:dyDescent="0.35">
      <c r="A27" s="119">
        <f>distals!G29</f>
        <v>41949</v>
      </c>
      <c r="B27">
        <f>distals!CV29</f>
        <v>1250</v>
      </c>
      <c r="C27">
        <f>distals!CA29</f>
        <v>0</v>
      </c>
      <c r="E27" s="146" t="s">
        <v>236</v>
      </c>
      <c r="F27" s="165">
        <f>STDEV(distals!$CA$2:$CA$18)</f>
        <v>606.71790615331179</v>
      </c>
      <c r="G27" s="165">
        <f>STDEV(distals!$CA$20:$CA$1000)</f>
        <v>488.16400273601852</v>
      </c>
      <c r="H27" s="166">
        <f>F27-G27</f>
        <v>118.55390341729327</v>
      </c>
    </row>
    <row r="28" spans="1:8" ht="21" x14ac:dyDescent="0.35">
      <c r="A28" s="119">
        <f>distals!G30</f>
        <v>41963</v>
      </c>
      <c r="B28">
        <f>distals!CV30</f>
        <v>1659</v>
      </c>
      <c r="C28">
        <f>distals!CA30</f>
        <v>750</v>
      </c>
      <c r="E28" s="167" t="s">
        <v>260</v>
      </c>
      <c r="F28" s="171">
        <f>TTEST(distals!$CA$2:$CA$18,distals!$CA$20:$CA$1000, 1, 3)</f>
        <v>7.2111881837166616E-2</v>
      </c>
      <c r="G28" s="139"/>
      <c r="H28" s="140"/>
    </row>
    <row r="29" spans="1:8" x14ac:dyDescent="0.25">
      <c r="A29" s="119">
        <f>distals!G32</f>
        <v>41984</v>
      </c>
      <c r="B29">
        <f>distals!CV32</f>
        <v>2659.8</v>
      </c>
      <c r="C29">
        <f>distals!CA32</f>
        <v>500</v>
      </c>
    </row>
    <row r="30" spans="1:8" x14ac:dyDescent="0.25">
      <c r="A30" s="119">
        <f>distals!G33</f>
        <v>42019</v>
      </c>
      <c r="B30">
        <f>distals!CV33</f>
        <v>2850</v>
      </c>
      <c r="C30">
        <f>distals!CA33</f>
        <v>500</v>
      </c>
    </row>
    <row r="31" spans="1:8" x14ac:dyDescent="0.25">
      <c r="A31" s="119">
        <f>distals!G34</f>
        <v>42041</v>
      </c>
      <c r="B31">
        <f>distals!CV34</f>
        <v>1895.8</v>
      </c>
      <c r="C31">
        <f>distals!CA34</f>
        <v>750</v>
      </c>
    </row>
    <row r="32" spans="1:8" x14ac:dyDescent="0.25">
      <c r="A32" s="119">
        <f>distals!G35</f>
        <v>42061</v>
      </c>
      <c r="B32">
        <f>distals!CV35</f>
        <v>4000</v>
      </c>
      <c r="C32">
        <f>distals!CA35</f>
        <v>1000</v>
      </c>
    </row>
    <row r="33" spans="1:3" x14ac:dyDescent="0.25">
      <c r="A33" s="119">
        <f>distals!G36</f>
        <v>42068</v>
      </c>
      <c r="B33">
        <f>distals!CV36</f>
        <v>3361</v>
      </c>
      <c r="C33">
        <f>distals!CA36</f>
        <v>1000</v>
      </c>
    </row>
    <row r="34" spans="1:3" x14ac:dyDescent="0.25">
      <c r="A34" s="119">
        <f>distals!G37</f>
        <v>42082</v>
      </c>
      <c r="B34">
        <f>distals!CV37</f>
        <v>2700</v>
      </c>
      <c r="C34">
        <f>distals!CA37</f>
        <v>1250</v>
      </c>
    </row>
    <row r="35" spans="1:3" x14ac:dyDescent="0.25">
      <c r="A35" s="119">
        <f>distals!G38</f>
        <v>42110</v>
      </c>
      <c r="B35">
        <f>distals!CV38</f>
        <v>4444</v>
      </c>
      <c r="C35">
        <f>distals!CA38</f>
        <v>1000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Length of stay (days)</vt:lpstr>
      <vt:lpstr>Whipples</vt:lpstr>
      <vt:lpstr>Length of stay (days)5</vt:lpstr>
      <vt:lpstr>distals</vt:lpstr>
      <vt:lpstr>Stats</vt:lpstr>
      <vt:lpstr>PRBC-Whipples</vt:lpstr>
      <vt:lpstr>PRBC-Distals</vt:lpstr>
      <vt:lpstr>Fluids - Whipples</vt:lpstr>
      <vt:lpstr>Fluids - Distals</vt:lpstr>
      <vt:lpstr>Whipples 1st Pain</vt:lpstr>
      <vt:lpstr>distals 1st Pain</vt:lpstr>
      <vt:lpstr>LOS Meta</vt:lpstr>
      <vt:lpstr>mR Length of stay (days)</vt:lpstr>
      <vt:lpstr>X Length of stay (days)</vt:lpstr>
      <vt:lpstr>mR Length of stay (days)5</vt:lpstr>
      <vt:lpstr>X Length of stay (days)5</vt:lpstr>
      <vt:lpstr>'Length of stay (days)'!Print_Area</vt:lpstr>
      <vt:lpstr>'Length of stay (days)5'!Print_Area</vt:lpstr>
    </vt:vector>
  </TitlesOfParts>
  <Company>unc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000005165972 Data</dc:title>
  <dc:creator>Lavinia Kolarczyk and QI Macros</dc:creator>
  <dc:description>Charts created with QI Macros for Excel_x000d_
www.qimacros.com</dc:description>
  <cp:lastModifiedBy>Hance, Lyla</cp:lastModifiedBy>
  <dcterms:created xsi:type="dcterms:W3CDTF">2014-07-06T18:57:19Z</dcterms:created>
  <dcterms:modified xsi:type="dcterms:W3CDTF">2015-04-24T20:19:59Z</dcterms:modified>
</cp:coreProperties>
</file>