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hared\Spencer\FY22 Budget\"/>
    </mc:Choice>
  </mc:AlternateContent>
  <bookViews>
    <workbookView xWindow="0" yWindow="0" windowWidth="28800" windowHeight="11685"/>
  </bookViews>
  <sheets>
    <sheet name="Proforma" sheetId="16" r:id="rId1"/>
    <sheet name="FY21 Rates" sheetId="19" state="hidden" r:id="rId2"/>
    <sheet name="Lists" sheetId="6" state="hidden" r:id="rId3"/>
    <sheet name="Specialty" sheetId="13" state="hidden" r:id="rId4"/>
    <sheet name="Count of Providers as of Jan 18" sheetId="14" state="hidden" r:id="rId5"/>
    <sheet name="FY21 wRVU Changes" sheetId="18" state="hidden" r:id="rId6"/>
    <sheet name="Low N 2018" sheetId="15" state="hidden" r:id="rId7"/>
    <sheet name="Specialty Lookup" sheetId="17" state="hidden" r:id="rId8"/>
  </sheets>
  <externalReferences>
    <externalReference r:id="rId9"/>
    <externalReference r:id="rId10"/>
  </externalReferences>
  <definedNames>
    <definedName name="_xlnm._FilterDatabase" localSheetId="1" hidden="1">'FY21 Rates'!$A$4:$O$4</definedName>
    <definedName name="_xlnm._FilterDatabase" localSheetId="5" hidden="1">'FY21 wRVU Changes'!$A$2:$H$29</definedName>
    <definedName name="_xlnm._FilterDatabase" localSheetId="3" hidden="1">Specialty!$A$1:$W$140</definedName>
    <definedName name="FUNDTYPE" localSheetId="1">[1]Lists!$A$2:$A$12</definedName>
    <definedName name="FUNDTYPE">Lists!$A$2:$A$12</definedName>
    <definedName name="_xlnm.Print_Area" localSheetId="0">Proforma!$A$1:$N$45</definedName>
    <definedName name="_xlnm.Print_Titles" localSheetId="0">Proforma!#REF!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6" l="1"/>
  <c r="I34" i="16" l="1"/>
  <c r="F34" i="16"/>
  <c r="F32" i="16"/>
  <c r="C32" i="16"/>
  <c r="C23" i="16" l="1"/>
  <c r="C34" i="16" l="1"/>
  <c r="I25" i="16"/>
  <c r="F25" i="16"/>
  <c r="C25" i="16"/>
  <c r="I24" i="16"/>
  <c r="F24" i="16"/>
  <c r="I22" i="16"/>
  <c r="F22" i="16"/>
  <c r="C26" i="16"/>
  <c r="C22" i="16"/>
  <c r="K25" i="16" l="1"/>
  <c r="K24" i="16"/>
  <c r="K22" i="16"/>
  <c r="F26" i="16"/>
  <c r="I26" i="16"/>
  <c r="I23" i="16"/>
  <c r="F23" i="16"/>
  <c r="K23" i="16" s="1"/>
  <c r="F28" i="16" l="1"/>
  <c r="K26" i="16"/>
  <c r="I10" i="16"/>
  <c r="I12" i="16"/>
  <c r="C33" i="16"/>
  <c r="C27" i="16"/>
  <c r="K27" i="16" s="1"/>
  <c r="K28" i="16" l="1"/>
  <c r="K33" i="16"/>
  <c r="F10" i="16"/>
  <c r="F31" i="16" l="1"/>
  <c r="I31" i="16"/>
  <c r="I32" i="16"/>
  <c r="K34" i="16" l="1"/>
  <c r="K32" i="16"/>
  <c r="AW3" i="6" l="1"/>
  <c r="AW6" i="6" s="1"/>
  <c r="AS3" i="6" l="1"/>
  <c r="AS6" i="6" s="1"/>
  <c r="AO3" i="6"/>
  <c r="AO6" i="6" s="1"/>
  <c r="AK3" i="6"/>
  <c r="AK6" i="6" s="1"/>
  <c r="AG3" i="6" l="1"/>
  <c r="AG6" i="6" s="1"/>
  <c r="AC3" i="6"/>
  <c r="AC6" i="6" s="1"/>
  <c r="I7" i="16"/>
  <c r="Q3" i="6" l="1"/>
  <c r="I8" i="16"/>
  <c r="F137" i="19" l="1"/>
  <c r="H137" i="19" s="1"/>
  <c r="H136" i="19"/>
  <c r="F136" i="19"/>
  <c r="F135" i="19"/>
  <c r="H135" i="19" s="1"/>
  <c r="F134" i="19"/>
  <c r="H134" i="19" s="1"/>
  <c r="F133" i="19"/>
  <c r="H133" i="19" s="1"/>
  <c r="F132" i="19"/>
  <c r="H132" i="19" s="1"/>
  <c r="F131" i="19"/>
  <c r="H131" i="19" s="1"/>
  <c r="F130" i="19"/>
  <c r="H130" i="19" s="1"/>
  <c r="F129" i="19"/>
  <c r="H129" i="19" s="1"/>
  <c r="F128" i="19"/>
  <c r="H128" i="19" s="1"/>
  <c r="F127" i="19"/>
  <c r="H127" i="19" s="1"/>
  <c r="F126" i="19"/>
  <c r="H126" i="19" s="1"/>
  <c r="F125" i="19"/>
  <c r="H125" i="19" s="1"/>
  <c r="F124" i="19"/>
  <c r="H124" i="19" s="1"/>
  <c r="F123" i="19"/>
  <c r="H123" i="19" s="1"/>
  <c r="F122" i="19"/>
  <c r="H122" i="19" s="1"/>
  <c r="F121" i="19"/>
  <c r="H121" i="19" s="1"/>
  <c r="F120" i="19"/>
  <c r="H120" i="19" s="1"/>
  <c r="F119" i="19"/>
  <c r="H119" i="19" s="1"/>
  <c r="F118" i="19"/>
  <c r="H118" i="19" s="1"/>
  <c r="F117" i="19"/>
  <c r="H117" i="19" s="1"/>
  <c r="F116" i="19"/>
  <c r="H116" i="19" s="1"/>
  <c r="F115" i="19"/>
  <c r="H115" i="19" s="1"/>
  <c r="F114" i="19"/>
  <c r="H114" i="19" s="1"/>
  <c r="F113" i="19"/>
  <c r="H113" i="19" s="1"/>
  <c r="F112" i="19"/>
  <c r="H112" i="19" s="1"/>
  <c r="F111" i="19"/>
  <c r="H111" i="19" s="1"/>
  <c r="F110" i="19"/>
  <c r="H110" i="19" s="1"/>
  <c r="F109" i="19"/>
  <c r="H109" i="19" s="1"/>
  <c r="F108" i="19"/>
  <c r="H108" i="19" s="1"/>
  <c r="F107" i="19"/>
  <c r="H107" i="19" s="1"/>
  <c r="F106" i="19"/>
  <c r="H106" i="19" s="1"/>
  <c r="F105" i="19"/>
  <c r="H105" i="19" s="1"/>
  <c r="F104" i="19"/>
  <c r="H104" i="19" s="1"/>
  <c r="F103" i="19"/>
  <c r="H103" i="19" s="1"/>
  <c r="F102" i="19"/>
  <c r="H102" i="19" s="1"/>
  <c r="F101" i="19"/>
  <c r="H101" i="19" s="1"/>
  <c r="F100" i="19"/>
  <c r="H100" i="19" s="1"/>
  <c r="F99" i="19"/>
  <c r="H99" i="19" s="1"/>
  <c r="F98" i="19"/>
  <c r="H98" i="19" s="1"/>
  <c r="F97" i="19"/>
  <c r="H97" i="19" s="1"/>
  <c r="F96" i="19"/>
  <c r="H96" i="19" s="1"/>
  <c r="F95" i="19"/>
  <c r="H95" i="19" s="1"/>
  <c r="F94" i="19"/>
  <c r="H94" i="19" s="1"/>
  <c r="F93" i="19"/>
  <c r="H93" i="19" s="1"/>
  <c r="F92" i="19"/>
  <c r="H92" i="19" s="1"/>
  <c r="F91" i="19"/>
  <c r="H91" i="19" s="1"/>
  <c r="F90" i="19"/>
  <c r="H90" i="19" s="1"/>
  <c r="F89" i="19"/>
  <c r="H89" i="19" s="1"/>
  <c r="F88" i="19"/>
  <c r="H88" i="19" s="1"/>
  <c r="F87" i="19"/>
  <c r="H87" i="19" s="1"/>
  <c r="F86" i="19"/>
  <c r="H86" i="19" s="1"/>
  <c r="F85" i="19"/>
  <c r="H85" i="19" s="1"/>
  <c r="F84" i="19"/>
  <c r="H84" i="19" s="1"/>
  <c r="F83" i="19"/>
  <c r="H83" i="19" s="1"/>
  <c r="F82" i="19"/>
  <c r="H82" i="19" s="1"/>
  <c r="F81" i="19"/>
  <c r="H81" i="19" s="1"/>
  <c r="F80" i="19"/>
  <c r="H80" i="19" s="1"/>
  <c r="F79" i="19"/>
  <c r="H79" i="19" s="1"/>
  <c r="F78" i="19"/>
  <c r="H78" i="19" s="1"/>
  <c r="F77" i="19"/>
  <c r="H77" i="19" s="1"/>
  <c r="F76" i="19"/>
  <c r="H76" i="19" s="1"/>
  <c r="M75" i="19"/>
  <c r="O75" i="19" s="1"/>
  <c r="F75" i="19"/>
  <c r="H75" i="19" s="1"/>
  <c r="F74" i="19"/>
  <c r="H74" i="19" s="1"/>
  <c r="F73" i="19"/>
  <c r="H73" i="19" s="1"/>
  <c r="F72" i="19"/>
  <c r="H72" i="19" s="1"/>
  <c r="F71" i="19"/>
  <c r="H71" i="19" s="1"/>
  <c r="F70" i="19"/>
  <c r="H70" i="19" s="1"/>
  <c r="F69" i="19"/>
  <c r="H69" i="19" s="1"/>
  <c r="F68" i="19"/>
  <c r="H68" i="19" s="1"/>
  <c r="F67" i="19"/>
  <c r="H67" i="19" s="1"/>
  <c r="F66" i="19"/>
  <c r="H66" i="19" s="1"/>
  <c r="F65" i="19"/>
  <c r="H65" i="19" s="1"/>
  <c r="F64" i="19"/>
  <c r="H64" i="19" s="1"/>
  <c r="F63" i="19"/>
  <c r="H63" i="19" s="1"/>
  <c r="F62" i="19"/>
  <c r="H62" i="19" s="1"/>
  <c r="F61" i="19"/>
  <c r="H61" i="19" s="1"/>
  <c r="F60" i="19"/>
  <c r="H60" i="19" s="1"/>
  <c r="F59" i="19"/>
  <c r="H59" i="19" s="1"/>
  <c r="F58" i="19"/>
  <c r="H58" i="19" s="1"/>
  <c r="F57" i="19"/>
  <c r="H57" i="19" s="1"/>
  <c r="F56" i="19"/>
  <c r="H56" i="19" s="1"/>
  <c r="F55" i="19"/>
  <c r="H55" i="19" s="1"/>
  <c r="F54" i="19"/>
  <c r="H54" i="19" s="1"/>
  <c r="F53" i="19"/>
  <c r="H53" i="19" s="1"/>
  <c r="F52" i="19"/>
  <c r="H52" i="19" s="1"/>
  <c r="F51" i="19"/>
  <c r="H51" i="19" s="1"/>
  <c r="F50" i="19"/>
  <c r="H50" i="19" s="1"/>
  <c r="F49" i="19"/>
  <c r="H49" i="19" s="1"/>
  <c r="F48" i="19"/>
  <c r="H48" i="19" s="1"/>
  <c r="F47" i="19"/>
  <c r="H47" i="19" s="1"/>
  <c r="F46" i="19"/>
  <c r="H46" i="19" s="1"/>
  <c r="F45" i="19"/>
  <c r="H45" i="19" s="1"/>
  <c r="F44" i="19"/>
  <c r="H44" i="19" s="1"/>
  <c r="F43" i="19"/>
  <c r="H43" i="19" s="1"/>
  <c r="F42" i="19"/>
  <c r="H42" i="19" s="1"/>
  <c r="F41" i="19"/>
  <c r="H41" i="19" s="1"/>
  <c r="F40" i="19"/>
  <c r="H40" i="19" s="1"/>
  <c r="F39" i="19"/>
  <c r="H39" i="19" s="1"/>
  <c r="F38" i="19"/>
  <c r="H38" i="19" s="1"/>
  <c r="F37" i="19"/>
  <c r="H37" i="19" s="1"/>
  <c r="F36" i="19"/>
  <c r="H36" i="19" s="1"/>
  <c r="F35" i="19"/>
  <c r="H35" i="19" s="1"/>
  <c r="F34" i="19"/>
  <c r="H34" i="19" s="1"/>
  <c r="F33" i="19"/>
  <c r="H33" i="19" s="1"/>
  <c r="F32" i="19"/>
  <c r="H32" i="19" s="1"/>
  <c r="F31" i="19"/>
  <c r="H31" i="19" s="1"/>
  <c r="F30" i="19"/>
  <c r="H30" i="19" s="1"/>
  <c r="F29" i="19"/>
  <c r="H29" i="19" s="1"/>
  <c r="F28" i="19"/>
  <c r="H28" i="19" s="1"/>
  <c r="F27" i="19"/>
  <c r="H27" i="19" s="1"/>
  <c r="F26" i="19"/>
  <c r="H26" i="19" s="1"/>
  <c r="F25" i="19"/>
  <c r="H25" i="19" s="1"/>
  <c r="F24" i="19"/>
  <c r="H24" i="19" s="1"/>
  <c r="F23" i="19"/>
  <c r="H23" i="19" s="1"/>
  <c r="F22" i="19"/>
  <c r="H22" i="19" s="1"/>
  <c r="F21" i="19"/>
  <c r="H21" i="19" s="1"/>
  <c r="F20" i="19"/>
  <c r="H20" i="19" s="1"/>
  <c r="F19" i="19"/>
  <c r="H19" i="19" s="1"/>
  <c r="F18" i="19"/>
  <c r="H18" i="19" s="1"/>
  <c r="F17" i="19"/>
  <c r="H17" i="19" s="1"/>
  <c r="F16" i="19"/>
  <c r="H16" i="19" s="1"/>
  <c r="F15" i="19"/>
  <c r="H15" i="19" s="1"/>
  <c r="F14" i="19"/>
  <c r="H14" i="19" s="1"/>
  <c r="F13" i="19"/>
  <c r="H13" i="19" s="1"/>
  <c r="F12" i="19"/>
  <c r="H12" i="19" s="1"/>
  <c r="F11" i="19"/>
  <c r="H11" i="19" s="1"/>
  <c r="F10" i="19"/>
  <c r="H10" i="19" s="1"/>
  <c r="F9" i="19"/>
  <c r="H9" i="19" s="1"/>
  <c r="F8" i="19"/>
  <c r="H8" i="19" s="1"/>
  <c r="M7" i="19"/>
  <c r="O7" i="19" s="1"/>
  <c r="F7" i="19"/>
  <c r="H7" i="19" s="1"/>
  <c r="M6" i="19"/>
  <c r="O6" i="19" s="1"/>
  <c r="F6" i="19"/>
  <c r="H6" i="19" s="1"/>
  <c r="F5" i="19"/>
  <c r="H5" i="19" s="1"/>
  <c r="W138" i="13" l="1"/>
  <c r="W139" i="13"/>
  <c r="U27" i="13"/>
  <c r="U50" i="13"/>
  <c r="U32" i="13"/>
  <c r="U135" i="13"/>
  <c r="W135" i="13" s="1"/>
  <c r="U136" i="13"/>
  <c r="W136" i="13" s="1"/>
  <c r="U137" i="13"/>
  <c r="W137" i="13" s="1"/>
  <c r="U98" i="13" l="1"/>
  <c r="U28" i="13" l="1"/>
  <c r="U34" i="13"/>
  <c r="U25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6" i="13"/>
  <c r="U29" i="13"/>
  <c r="U30" i="13"/>
  <c r="U31" i="13"/>
  <c r="U33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2" i="13"/>
  <c r="M6" i="6" l="1"/>
  <c r="Y3" i="6"/>
  <c r="Y6" i="6" s="1"/>
  <c r="W71" i="13" l="1"/>
  <c r="V138" i="13"/>
  <c r="H133" i="13"/>
  <c r="I133" i="13" s="1"/>
  <c r="D133" i="13"/>
  <c r="E133" i="13" s="1"/>
  <c r="V137" i="13"/>
  <c r="H132" i="13"/>
  <c r="I132" i="13" s="1"/>
  <c r="D132" i="13"/>
  <c r="E132" i="13" s="1"/>
  <c r="V136" i="13"/>
  <c r="H131" i="13"/>
  <c r="I131" i="13" s="1"/>
  <c r="D131" i="13"/>
  <c r="E131" i="13" s="1"/>
  <c r="V135" i="13"/>
  <c r="R138" i="13"/>
  <c r="N138" i="13"/>
  <c r="H130" i="13"/>
  <c r="I130" i="13" s="1"/>
  <c r="D130" i="13"/>
  <c r="E130" i="13" s="1"/>
  <c r="V134" i="13"/>
  <c r="R134" i="13"/>
  <c r="N134" i="13"/>
  <c r="H129" i="13"/>
  <c r="I129" i="13" s="1"/>
  <c r="D129" i="13"/>
  <c r="E129" i="13" s="1"/>
  <c r="R133" i="13"/>
  <c r="N133" i="13"/>
  <c r="W133" i="13" s="1"/>
  <c r="A128" i="13"/>
  <c r="V133" i="13" s="1"/>
  <c r="V132" i="13"/>
  <c r="R132" i="13"/>
  <c r="N132" i="13"/>
  <c r="H127" i="13"/>
  <c r="I127" i="13" s="1"/>
  <c r="D127" i="13"/>
  <c r="E127" i="13" s="1"/>
  <c r="W132" i="13" s="1"/>
  <c r="V131" i="13"/>
  <c r="R131" i="13"/>
  <c r="N131" i="13"/>
  <c r="H126" i="13"/>
  <c r="I126" i="13" s="1"/>
  <c r="D126" i="13"/>
  <c r="E126" i="13" s="1"/>
  <c r="V130" i="13"/>
  <c r="R130" i="13"/>
  <c r="N130" i="13"/>
  <c r="H125" i="13"/>
  <c r="I125" i="13" s="1"/>
  <c r="D125" i="13"/>
  <c r="E125" i="13" s="1"/>
  <c r="V129" i="13"/>
  <c r="R129" i="13"/>
  <c r="N129" i="13"/>
  <c r="H124" i="13"/>
  <c r="I124" i="13" s="1"/>
  <c r="D124" i="13"/>
  <c r="E124" i="13" s="1"/>
  <c r="W129" i="13" s="1"/>
  <c r="V128" i="13"/>
  <c r="R128" i="13"/>
  <c r="N128" i="13"/>
  <c r="H123" i="13"/>
  <c r="I123" i="13" s="1"/>
  <c r="D123" i="13"/>
  <c r="E123" i="13" s="1"/>
  <c r="V127" i="13"/>
  <c r="R127" i="13"/>
  <c r="N127" i="13"/>
  <c r="H122" i="13"/>
  <c r="I122" i="13" s="1"/>
  <c r="D122" i="13"/>
  <c r="E122" i="13" s="1"/>
  <c r="W127" i="13" s="1"/>
  <c r="V126" i="13"/>
  <c r="R126" i="13"/>
  <c r="N126" i="13"/>
  <c r="H121" i="13"/>
  <c r="I121" i="13" s="1"/>
  <c r="D121" i="13"/>
  <c r="E121" i="13" s="1"/>
  <c r="V125" i="13"/>
  <c r="R125" i="13"/>
  <c r="N125" i="13"/>
  <c r="H120" i="13"/>
  <c r="I120" i="13" s="1"/>
  <c r="D120" i="13"/>
  <c r="E120" i="13" s="1"/>
  <c r="W125" i="13" s="1"/>
  <c r="V124" i="13"/>
  <c r="R124" i="13"/>
  <c r="N124" i="13"/>
  <c r="H119" i="13"/>
  <c r="I119" i="13" s="1"/>
  <c r="D119" i="13"/>
  <c r="E119" i="13" s="1"/>
  <c r="V123" i="13"/>
  <c r="R123" i="13"/>
  <c r="N123" i="13"/>
  <c r="H118" i="13"/>
  <c r="I118" i="13" s="1"/>
  <c r="D118" i="13"/>
  <c r="E118" i="13" s="1"/>
  <c r="W123" i="13" s="1"/>
  <c r="V122" i="13"/>
  <c r="R122" i="13"/>
  <c r="N122" i="13"/>
  <c r="H117" i="13"/>
  <c r="I117" i="13" s="1"/>
  <c r="D117" i="13"/>
  <c r="E117" i="13" s="1"/>
  <c r="V121" i="13"/>
  <c r="R121" i="13"/>
  <c r="N121" i="13"/>
  <c r="H116" i="13"/>
  <c r="I116" i="13" s="1"/>
  <c r="D116" i="13"/>
  <c r="E116" i="13" s="1"/>
  <c r="W121" i="13" s="1"/>
  <c r="V120" i="13"/>
  <c r="R120" i="13"/>
  <c r="N120" i="13"/>
  <c r="H115" i="13"/>
  <c r="I115" i="13" s="1"/>
  <c r="D115" i="13"/>
  <c r="E115" i="13" s="1"/>
  <c r="V119" i="13"/>
  <c r="R119" i="13"/>
  <c r="N119" i="13"/>
  <c r="H114" i="13"/>
  <c r="I114" i="13" s="1"/>
  <c r="D114" i="13"/>
  <c r="E114" i="13" s="1"/>
  <c r="W119" i="13" s="1"/>
  <c r="V118" i="13"/>
  <c r="R118" i="13"/>
  <c r="N118" i="13"/>
  <c r="H113" i="13"/>
  <c r="I113" i="13" s="1"/>
  <c r="D113" i="13"/>
  <c r="E113" i="13" s="1"/>
  <c r="V117" i="13"/>
  <c r="R117" i="13"/>
  <c r="N117" i="13"/>
  <c r="H112" i="13"/>
  <c r="I112" i="13" s="1"/>
  <c r="D112" i="13"/>
  <c r="E112" i="13" s="1"/>
  <c r="W117" i="13" s="1"/>
  <c r="V116" i="13"/>
  <c r="R116" i="13"/>
  <c r="N116" i="13"/>
  <c r="H111" i="13"/>
  <c r="I111" i="13" s="1"/>
  <c r="D111" i="13"/>
  <c r="E111" i="13" s="1"/>
  <c r="V115" i="13"/>
  <c r="R115" i="13"/>
  <c r="N115" i="13"/>
  <c r="H110" i="13"/>
  <c r="I110" i="13" s="1"/>
  <c r="D110" i="13"/>
  <c r="E110" i="13" s="1"/>
  <c r="W115" i="13" s="1"/>
  <c r="V114" i="13"/>
  <c r="R114" i="13"/>
  <c r="N114" i="13"/>
  <c r="H109" i="13"/>
  <c r="I109" i="13" s="1"/>
  <c r="D109" i="13"/>
  <c r="E109" i="13" s="1"/>
  <c r="V113" i="13"/>
  <c r="R113" i="13"/>
  <c r="N113" i="13"/>
  <c r="H108" i="13"/>
  <c r="I108" i="13" s="1"/>
  <c r="D108" i="13"/>
  <c r="E108" i="13" s="1"/>
  <c r="W113" i="13" s="1"/>
  <c r="V112" i="13"/>
  <c r="R112" i="13"/>
  <c r="N112" i="13"/>
  <c r="H107" i="13"/>
  <c r="I107" i="13" s="1"/>
  <c r="D107" i="13"/>
  <c r="E107" i="13" s="1"/>
  <c r="W111" i="13"/>
  <c r="R111" i="13"/>
  <c r="N111" i="13"/>
  <c r="A106" i="13"/>
  <c r="V110" i="13"/>
  <c r="R110" i="13"/>
  <c r="N110" i="13"/>
  <c r="H105" i="13"/>
  <c r="I105" i="13" s="1"/>
  <c r="D105" i="13"/>
  <c r="E105" i="13" s="1"/>
  <c r="V109" i="13"/>
  <c r="R109" i="13"/>
  <c r="N109" i="13"/>
  <c r="H104" i="13"/>
  <c r="I104" i="13" s="1"/>
  <c r="D104" i="13"/>
  <c r="E104" i="13" s="1"/>
  <c r="W109" i="13" s="1"/>
  <c r="V108" i="13"/>
  <c r="R108" i="13"/>
  <c r="N108" i="13"/>
  <c r="H103" i="13"/>
  <c r="I103" i="13" s="1"/>
  <c r="D103" i="13"/>
  <c r="E103" i="13" s="1"/>
  <c r="V107" i="13"/>
  <c r="R107" i="13"/>
  <c r="N107" i="13"/>
  <c r="H102" i="13"/>
  <c r="I102" i="13" s="1"/>
  <c r="D102" i="13"/>
  <c r="E102" i="13" s="1"/>
  <c r="W107" i="13" s="1"/>
  <c r="V106" i="13"/>
  <c r="R106" i="13"/>
  <c r="N106" i="13"/>
  <c r="D101" i="13"/>
  <c r="E101" i="13" s="1"/>
  <c r="W106" i="13" s="1"/>
  <c r="H101" i="13"/>
  <c r="I101" i="13" s="1"/>
  <c r="V105" i="13"/>
  <c r="R105" i="13"/>
  <c r="N105" i="13"/>
  <c r="H100" i="13"/>
  <c r="I100" i="13" s="1"/>
  <c r="D100" i="13"/>
  <c r="E100" i="13" s="1"/>
  <c r="V104" i="13"/>
  <c r="R104" i="13"/>
  <c r="N104" i="13"/>
  <c r="H99" i="13"/>
  <c r="I99" i="13" s="1"/>
  <c r="D99" i="13"/>
  <c r="E99" i="13" s="1"/>
  <c r="W104" i="13" s="1"/>
  <c r="V103" i="13"/>
  <c r="R103" i="13"/>
  <c r="N103" i="13"/>
  <c r="H98" i="13"/>
  <c r="I98" i="13" s="1"/>
  <c r="D98" i="13"/>
  <c r="E98" i="13" s="1"/>
  <c r="W103" i="13" s="1"/>
  <c r="V102" i="13"/>
  <c r="R102" i="13"/>
  <c r="N102" i="13"/>
  <c r="H97" i="13"/>
  <c r="I97" i="13" s="1"/>
  <c r="D97" i="13"/>
  <c r="E97" i="13" s="1"/>
  <c r="V101" i="13"/>
  <c r="R101" i="13"/>
  <c r="N101" i="13"/>
  <c r="H96" i="13"/>
  <c r="I96" i="13" s="1"/>
  <c r="D96" i="13"/>
  <c r="E96" i="13" s="1"/>
  <c r="W101" i="13" s="1"/>
  <c r="V100" i="13"/>
  <c r="R100" i="13"/>
  <c r="N100" i="13"/>
  <c r="H95" i="13"/>
  <c r="I95" i="13" s="1"/>
  <c r="D95" i="13"/>
  <c r="E95" i="13" s="1"/>
  <c r="V99" i="13"/>
  <c r="R99" i="13"/>
  <c r="N99" i="13"/>
  <c r="H94" i="13"/>
  <c r="I94" i="13" s="1"/>
  <c r="D94" i="13"/>
  <c r="E94" i="13" s="1"/>
  <c r="W99" i="13" s="1"/>
  <c r="V98" i="13"/>
  <c r="R98" i="13"/>
  <c r="N98" i="13"/>
  <c r="H93" i="13"/>
  <c r="I93" i="13" s="1"/>
  <c r="D93" i="13"/>
  <c r="E93" i="13" s="1"/>
  <c r="V97" i="13"/>
  <c r="R97" i="13"/>
  <c r="N97" i="13"/>
  <c r="H92" i="13"/>
  <c r="I92" i="13" s="1"/>
  <c r="D92" i="13"/>
  <c r="E92" i="13" s="1"/>
  <c r="V96" i="13"/>
  <c r="R96" i="13"/>
  <c r="N96" i="13"/>
  <c r="D91" i="13"/>
  <c r="E91" i="13" s="1"/>
  <c r="W96" i="13" s="1"/>
  <c r="H91" i="13"/>
  <c r="I91" i="13" s="1"/>
  <c r="V95" i="13"/>
  <c r="R95" i="13"/>
  <c r="N95" i="13"/>
  <c r="H90" i="13"/>
  <c r="I90" i="13" s="1"/>
  <c r="D90" i="13"/>
  <c r="E90" i="13" s="1"/>
  <c r="V94" i="13"/>
  <c r="R94" i="13"/>
  <c r="N94" i="13"/>
  <c r="H89" i="13"/>
  <c r="I89" i="13" s="1"/>
  <c r="D89" i="13"/>
  <c r="E89" i="13" s="1"/>
  <c r="W94" i="13" s="1"/>
  <c r="V93" i="13"/>
  <c r="R93" i="13"/>
  <c r="N93" i="13"/>
  <c r="H88" i="13"/>
  <c r="I88" i="13" s="1"/>
  <c r="D88" i="13"/>
  <c r="E88" i="13" s="1"/>
  <c r="V92" i="13"/>
  <c r="R92" i="13"/>
  <c r="N92" i="13"/>
  <c r="H87" i="13"/>
  <c r="I87" i="13" s="1"/>
  <c r="D87" i="13"/>
  <c r="E87" i="13" s="1"/>
  <c r="W92" i="13" s="1"/>
  <c r="V91" i="13"/>
  <c r="R91" i="13"/>
  <c r="N91" i="13"/>
  <c r="H86" i="13"/>
  <c r="I86" i="13" s="1"/>
  <c r="D86" i="13"/>
  <c r="E86" i="13" s="1"/>
  <c r="V90" i="13"/>
  <c r="R90" i="13"/>
  <c r="N90" i="13"/>
  <c r="D85" i="13"/>
  <c r="E85" i="13" s="1"/>
  <c r="W90" i="13" s="1"/>
  <c r="H85" i="13"/>
  <c r="I85" i="13" s="1"/>
  <c r="V89" i="13"/>
  <c r="R89" i="13"/>
  <c r="N89" i="13"/>
  <c r="H84" i="13"/>
  <c r="I84" i="13" s="1"/>
  <c r="D84" i="13"/>
  <c r="E84" i="13" s="1"/>
  <c r="V88" i="13"/>
  <c r="R88" i="13"/>
  <c r="N88" i="13"/>
  <c r="H83" i="13"/>
  <c r="I83" i="13" s="1"/>
  <c r="D83" i="13"/>
  <c r="E83" i="13" s="1"/>
  <c r="W88" i="13" s="1"/>
  <c r="V87" i="13"/>
  <c r="R87" i="13"/>
  <c r="N87" i="13"/>
  <c r="H82" i="13"/>
  <c r="I82" i="13" s="1"/>
  <c r="D82" i="13"/>
  <c r="E82" i="13" s="1"/>
  <c r="W87" i="13" s="1"/>
  <c r="V86" i="13"/>
  <c r="R86" i="13"/>
  <c r="N86" i="13"/>
  <c r="H81" i="13"/>
  <c r="I81" i="13" s="1"/>
  <c r="D81" i="13"/>
  <c r="E81" i="13" s="1"/>
  <c r="V85" i="13"/>
  <c r="R85" i="13"/>
  <c r="N85" i="13"/>
  <c r="H80" i="13"/>
  <c r="I80" i="13" s="1"/>
  <c r="D80" i="13"/>
  <c r="E80" i="13" s="1"/>
  <c r="W85" i="13" s="1"/>
  <c r="V84" i="13"/>
  <c r="R84" i="13"/>
  <c r="N84" i="13"/>
  <c r="H79" i="13"/>
  <c r="I79" i="13" s="1"/>
  <c r="D79" i="13"/>
  <c r="E79" i="13" s="1"/>
  <c r="V83" i="13"/>
  <c r="R83" i="13"/>
  <c r="N83" i="13"/>
  <c r="H78" i="13"/>
  <c r="I78" i="13" s="1"/>
  <c r="D78" i="13"/>
  <c r="E78" i="13" s="1"/>
  <c r="W83" i="13" s="1"/>
  <c r="V82" i="13"/>
  <c r="R82" i="13"/>
  <c r="N82" i="13"/>
  <c r="H77" i="13"/>
  <c r="I77" i="13" s="1"/>
  <c r="D77" i="13"/>
  <c r="E77" i="13" s="1"/>
  <c r="W82" i="13" s="1"/>
  <c r="V81" i="13"/>
  <c r="R81" i="13"/>
  <c r="N81" i="13"/>
  <c r="H76" i="13"/>
  <c r="I76" i="13" s="1"/>
  <c r="D76" i="13"/>
  <c r="E76" i="13" s="1"/>
  <c r="W81" i="13" s="1"/>
  <c r="R80" i="13"/>
  <c r="N80" i="13"/>
  <c r="W80" i="13"/>
  <c r="A75" i="13"/>
  <c r="V80" i="13" s="1"/>
  <c r="V79" i="13"/>
  <c r="R79" i="13"/>
  <c r="N79" i="13"/>
  <c r="H74" i="13"/>
  <c r="I74" i="13" s="1"/>
  <c r="D74" i="13"/>
  <c r="E74" i="13" s="1"/>
  <c r="W79" i="13" s="1"/>
  <c r="V78" i="13"/>
  <c r="R78" i="13"/>
  <c r="N78" i="13"/>
  <c r="H73" i="13"/>
  <c r="I73" i="13" s="1"/>
  <c r="D73" i="13"/>
  <c r="E73" i="13" s="1"/>
  <c r="W78" i="13" s="1"/>
  <c r="V77" i="13"/>
  <c r="R77" i="13"/>
  <c r="N77" i="13"/>
  <c r="H72" i="13"/>
  <c r="I72" i="13" s="1"/>
  <c r="D72" i="13"/>
  <c r="E72" i="13" s="1"/>
  <c r="V76" i="13"/>
  <c r="R76" i="13"/>
  <c r="N76" i="13"/>
  <c r="H71" i="13"/>
  <c r="I71" i="13" s="1"/>
  <c r="D71" i="13"/>
  <c r="E71" i="13" s="1"/>
  <c r="W76" i="13" s="1"/>
  <c r="R75" i="13"/>
  <c r="N75" i="13"/>
  <c r="A70" i="13"/>
  <c r="V75" i="13" s="1"/>
  <c r="V74" i="13"/>
  <c r="R74" i="13"/>
  <c r="N74" i="13"/>
  <c r="H69" i="13"/>
  <c r="I69" i="13" s="1"/>
  <c r="D69" i="13"/>
  <c r="E69" i="13" s="1"/>
  <c r="V73" i="13"/>
  <c r="R73" i="13"/>
  <c r="N73" i="13"/>
  <c r="H68" i="13"/>
  <c r="I68" i="13" s="1"/>
  <c r="D68" i="13"/>
  <c r="E68" i="13" s="1"/>
  <c r="W73" i="13" s="1"/>
  <c r="V72" i="13"/>
  <c r="R72" i="13"/>
  <c r="N72" i="13"/>
  <c r="H67" i="13"/>
  <c r="I67" i="13" s="1"/>
  <c r="D67" i="13"/>
  <c r="E67" i="13" s="1"/>
  <c r="R71" i="13"/>
  <c r="N71" i="13"/>
  <c r="A66" i="13"/>
  <c r="V70" i="13"/>
  <c r="R70" i="13"/>
  <c r="N70" i="13"/>
  <c r="H65" i="13"/>
  <c r="I65" i="13" s="1"/>
  <c r="D65" i="13"/>
  <c r="E65" i="13" s="1"/>
  <c r="V69" i="13"/>
  <c r="R69" i="13"/>
  <c r="N69" i="13"/>
  <c r="H64" i="13"/>
  <c r="I64" i="13" s="1"/>
  <c r="D64" i="13"/>
  <c r="E64" i="13" s="1"/>
  <c r="W69" i="13" s="1"/>
  <c r="V68" i="13"/>
  <c r="R68" i="13"/>
  <c r="N68" i="13"/>
  <c r="H63" i="13"/>
  <c r="I63" i="13" s="1"/>
  <c r="D63" i="13"/>
  <c r="E63" i="13" s="1"/>
  <c r="V67" i="13"/>
  <c r="R67" i="13"/>
  <c r="N67" i="13"/>
  <c r="D62" i="13"/>
  <c r="E62" i="13" s="1"/>
  <c r="H62" i="13"/>
  <c r="I62" i="13" s="1"/>
  <c r="V66" i="13"/>
  <c r="R66" i="13"/>
  <c r="N66" i="13"/>
  <c r="H61" i="13"/>
  <c r="I61" i="13" s="1"/>
  <c r="D61" i="13"/>
  <c r="E61" i="13" s="1"/>
  <c r="V65" i="13"/>
  <c r="R65" i="13"/>
  <c r="N65" i="13"/>
  <c r="I60" i="13"/>
  <c r="E60" i="13"/>
  <c r="V64" i="13"/>
  <c r="R64" i="13"/>
  <c r="N64" i="13"/>
  <c r="H59" i="13"/>
  <c r="I59" i="13" s="1"/>
  <c r="D59" i="13"/>
  <c r="E59" i="13" s="1"/>
  <c r="W64" i="13" s="1"/>
  <c r="V63" i="13"/>
  <c r="R63" i="13"/>
  <c r="N63" i="13"/>
  <c r="D58" i="13"/>
  <c r="E58" i="13" s="1"/>
  <c r="H58" i="13"/>
  <c r="I58" i="13" s="1"/>
  <c r="V62" i="13"/>
  <c r="R62" i="13"/>
  <c r="N62" i="13"/>
  <c r="H57" i="13"/>
  <c r="I57" i="13" s="1"/>
  <c r="D57" i="13"/>
  <c r="E57" i="13" s="1"/>
  <c r="W62" i="13" s="1"/>
  <c r="V61" i="13"/>
  <c r="R61" i="13"/>
  <c r="N61" i="13"/>
  <c r="H56" i="13"/>
  <c r="I56" i="13" s="1"/>
  <c r="D56" i="13"/>
  <c r="E56" i="13" s="1"/>
  <c r="V60" i="13"/>
  <c r="R60" i="13"/>
  <c r="N60" i="13"/>
  <c r="H55" i="13"/>
  <c r="I55" i="13" s="1"/>
  <c r="D55" i="13"/>
  <c r="E55" i="13" s="1"/>
  <c r="W60" i="13" s="1"/>
  <c r="V59" i="13"/>
  <c r="R59" i="13"/>
  <c r="N59" i="13"/>
  <c r="D54" i="13"/>
  <c r="E54" i="13" s="1"/>
  <c r="H54" i="13"/>
  <c r="I54" i="13" s="1"/>
  <c r="V58" i="13"/>
  <c r="R58" i="13"/>
  <c r="N58" i="13"/>
  <c r="D53" i="13"/>
  <c r="E53" i="13" s="1"/>
  <c r="W58" i="13" s="1"/>
  <c r="H53" i="13"/>
  <c r="I53" i="13" s="1"/>
  <c r="V57" i="13"/>
  <c r="R57" i="13"/>
  <c r="N57" i="13"/>
  <c r="H52" i="13"/>
  <c r="I52" i="13" s="1"/>
  <c r="D52" i="13"/>
  <c r="E52" i="13" s="1"/>
  <c r="V56" i="13"/>
  <c r="R56" i="13"/>
  <c r="N56" i="13"/>
  <c r="H51" i="13"/>
  <c r="I51" i="13" s="1"/>
  <c r="D51" i="13"/>
  <c r="E51" i="13" s="1"/>
  <c r="W56" i="13" s="1"/>
  <c r="V55" i="13"/>
  <c r="D50" i="13"/>
  <c r="E50" i="13" s="1"/>
  <c r="R55" i="13"/>
  <c r="N55" i="13"/>
  <c r="H50" i="13"/>
  <c r="I50" i="13" s="1"/>
  <c r="V54" i="13"/>
  <c r="R54" i="13"/>
  <c r="N54" i="13"/>
  <c r="H49" i="13"/>
  <c r="I49" i="13" s="1"/>
  <c r="D49" i="13"/>
  <c r="E49" i="13" s="1"/>
  <c r="W54" i="13" s="1"/>
  <c r="V53" i="13"/>
  <c r="R53" i="13"/>
  <c r="N53" i="13"/>
  <c r="H48" i="13"/>
  <c r="I48" i="13" s="1"/>
  <c r="D48" i="13"/>
  <c r="E48" i="13" s="1"/>
  <c r="V52" i="13"/>
  <c r="R52" i="13"/>
  <c r="N52" i="13"/>
  <c r="H47" i="13"/>
  <c r="I47" i="13" s="1"/>
  <c r="D47" i="13"/>
  <c r="E47" i="13" s="1"/>
  <c r="W52" i="13" s="1"/>
  <c r="V51" i="13"/>
  <c r="R51" i="13"/>
  <c r="N51" i="13"/>
  <c r="H46" i="13"/>
  <c r="I46" i="13" s="1"/>
  <c r="D46" i="13"/>
  <c r="E46" i="13" s="1"/>
  <c r="V49" i="13"/>
  <c r="R49" i="13"/>
  <c r="N49" i="13"/>
  <c r="H45" i="13"/>
  <c r="I45" i="13" s="1"/>
  <c r="D45" i="13"/>
  <c r="E45" i="13" s="1"/>
  <c r="V48" i="13"/>
  <c r="R48" i="13"/>
  <c r="N48" i="13"/>
  <c r="H44" i="13"/>
  <c r="I44" i="13" s="1"/>
  <c r="D44" i="13"/>
  <c r="E44" i="13" s="1"/>
  <c r="W48" i="13" s="1"/>
  <c r="V47" i="13"/>
  <c r="R47" i="13"/>
  <c r="N47" i="13"/>
  <c r="H43" i="13"/>
  <c r="I43" i="13" s="1"/>
  <c r="D43" i="13"/>
  <c r="E43" i="13" s="1"/>
  <c r="W47" i="13" s="1"/>
  <c r="V46" i="13"/>
  <c r="D42" i="13"/>
  <c r="E42" i="13" s="1"/>
  <c r="W46" i="13" s="1"/>
  <c r="R46" i="13"/>
  <c r="N46" i="13"/>
  <c r="H42" i="13"/>
  <c r="I42" i="13" s="1"/>
  <c r="V45" i="13"/>
  <c r="R45" i="13"/>
  <c r="N45" i="13"/>
  <c r="H41" i="13"/>
  <c r="I41" i="13" s="1"/>
  <c r="D41" i="13"/>
  <c r="E41" i="13" s="1"/>
  <c r="W45" i="13" s="1"/>
  <c r="V44" i="13"/>
  <c r="R44" i="13"/>
  <c r="N44" i="13"/>
  <c r="D40" i="13"/>
  <c r="E40" i="13" s="1"/>
  <c r="H40" i="13"/>
  <c r="I40" i="13" s="1"/>
  <c r="V43" i="13"/>
  <c r="R43" i="13"/>
  <c r="N43" i="13"/>
  <c r="H39" i="13"/>
  <c r="I39" i="13" s="1"/>
  <c r="D39" i="13"/>
  <c r="E39" i="13" s="1"/>
  <c r="V42" i="13"/>
  <c r="R42" i="13"/>
  <c r="N42" i="13"/>
  <c r="H38" i="13"/>
  <c r="I38" i="13" s="1"/>
  <c r="D38" i="13"/>
  <c r="E38" i="13" s="1"/>
  <c r="W42" i="13" s="1"/>
  <c r="V41" i="13"/>
  <c r="R41" i="13"/>
  <c r="N41" i="13"/>
  <c r="D37" i="13"/>
  <c r="E37" i="13" s="1"/>
  <c r="H37" i="13"/>
  <c r="I37" i="13" s="1"/>
  <c r="V40" i="13"/>
  <c r="R40" i="13"/>
  <c r="N40" i="13"/>
  <c r="H36" i="13"/>
  <c r="I36" i="13" s="1"/>
  <c r="D36" i="13"/>
  <c r="E36" i="13" s="1"/>
  <c r="W40" i="13" s="1"/>
  <c r="V39" i="13"/>
  <c r="R39" i="13"/>
  <c r="N39" i="13"/>
  <c r="H35" i="13"/>
  <c r="I35" i="13" s="1"/>
  <c r="D35" i="13"/>
  <c r="E35" i="13" s="1"/>
  <c r="V38" i="13"/>
  <c r="R38" i="13"/>
  <c r="N38" i="13"/>
  <c r="H34" i="13"/>
  <c r="I34" i="13" s="1"/>
  <c r="D34" i="13"/>
  <c r="E34" i="13" s="1"/>
  <c r="V37" i="13"/>
  <c r="R37" i="13"/>
  <c r="N37" i="13"/>
  <c r="H33" i="13"/>
  <c r="I33" i="13" s="1"/>
  <c r="D33" i="13"/>
  <c r="E33" i="13" s="1"/>
  <c r="V36" i="13"/>
  <c r="R36" i="13"/>
  <c r="N36" i="13"/>
  <c r="H32" i="13"/>
  <c r="I32" i="13" s="1"/>
  <c r="D32" i="13"/>
  <c r="E32" i="13" s="1"/>
  <c r="W36" i="13" s="1"/>
  <c r="V35" i="13"/>
  <c r="R35" i="13"/>
  <c r="N35" i="13"/>
  <c r="H31" i="13"/>
  <c r="I31" i="13" s="1"/>
  <c r="D31" i="13"/>
  <c r="E31" i="13" s="1"/>
  <c r="V33" i="13"/>
  <c r="D30" i="13"/>
  <c r="E30" i="13" s="1"/>
  <c r="R33" i="13"/>
  <c r="N33" i="13"/>
  <c r="H30" i="13"/>
  <c r="I30" i="13" s="1"/>
  <c r="V31" i="13"/>
  <c r="R31" i="13"/>
  <c r="N31" i="13"/>
  <c r="H29" i="13"/>
  <c r="I29" i="13" s="1"/>
  <c r="D29" i="13"/>
  <c r="E29" i="13" s="1"/>
  <c r="V30" i="13"/>
  <c r="R30" i="13"/>
  <c r="N30" i="13"/>
  <c r="H28" i="13"/>
  <c r="I28" i="13" s="1"/>
  <c r="D28" i="13"/>
  <c r="E28" i="13" s="1"/>
  <c r="W30" i="13" s="1"/>
  <c r="V29" i="13"/>
  <c r="R29" i="13"/>
  <c r="N29" i="13"/>
  <c r="H27" i="13"/>
  <c r="I27" i="13" s="1"/>
  <c r="D27" i="13"/>
  <c r="E27" i="13" s="1"/>
  <c r="V26" i="13"/>
  <c r="R26" i="13"/>
  <c r="N26" i="13"/>
  <c r="H26" i="13"/>
  <c r="I26" i="13" s="1"/>
  <c r="D26" i="13"/>
  <c r="E26" i="13" s="1"/>
  <c r="W26" i="13" s="1"/>
  <c r="V25" i="13"/>
  <c r="R25" i="13"/>
  <c r="N25" i="13"/>
  <c r="H25" i="13"/>
  <c r="I25" i="13" s="1"/>
  <c r="D25" i="13"/>
  <c r="E25" i="13" s="1"/>
  <c r="V24" i="13"/>
  <c r="R24" i="13"/>
  <c r="N24" i="13"/>
  <c r="D24" i="13"/>
  <c r="E24" i="13" s="1"/>
  <c r="W24" i="13" s="1"/>
  <c r="H24" i="13"/>
  <c r="I24" i="13" s="1"/>
  <c r="V23" i="13"/>
  <c r="R23" i="13"/>
  <c r="N23" i="13"/>
  <c r="H23" i="13"/>
  <c r="I23" i="13" s="1"/>
  <c r="D23" i="13"/>
  <c r="E23" i="13" s="1"/>
  <c r="V22" i="13"/>
  <c r="R22" i="13"/>
  <c r="N22" i="13"/>
  <c r="D22" i="13"/>
  <c r="E22" i="13" s="1"/>
  <c r="W22" i="13" s="1"/>
  <c r="H22" i="13"/>
  <c r="I22" i="13" s="1"/>
  <c r="V21" i="13"/>
  <c r="R21" i="13"/>
  <c r="N21" i="13"/>
  <c r="H21" i="13"/>
  <c r="I21" i="13" s="1"/>
  <c r="D21" i="13"/>
  <c r="E21" i="13" s="1"/>
  <c r="V20" i="13"/>
  <c r="R20" i="13"/>
  <c r="N20" i="13"/>
  <c r="H20" i="13"/>
  <c r="I20" i="13" s="1"/>
  <c r="D20" i="13"/>
  <c r="E20" i="13" s="1"/>
  <c r="W20" i="13" s="1"/>
  <c r="V19" i="13"/>
  <c r="R19" i="13"/>
  <c r="N19" i="13"/>
  <c r="H19" i="13"/>
  <c r="I19" i="13" s="1"/>
  <c r="D19" i="13"/>
  <c r="E19" i="13" s="1"/>
  <c r="V18" i="13"/>
  <c r="R18" i="13"/>
  <c r="N18" i="13"/>
  <c r="H18" i="13"/>
  <c r="I18" i="13" s="1"/>
  <c r="D18" i="13"/>
  <c r="E18" i="13" s="1"/>
  <c r="V17" i="13"/>
  <c r="R17" i="13"/>
  <c r="N17" i="13"/>
  <c r="H17" i="13"/>
  <c r="I17" i="13" s="1"/>
  <c r="D17" i="13"/>
  <c r="E17" i="13" s="1"/>
  <c r="W17" i="13" s="1"/>
  <c r="V16" i="13"/>
  <c r="R16" i="13"/>
  <c r="N16" i="13"/>
  <c r="D16" i="13"/>
  <c r="E16" i="13" s="1"/>
  <c r="H16" i="13"/>
  <c r="I16" i="13" s="1"/>
  <c r="V15" i="13"/>
  <c r="R15" i="13"/>
  <c r="N15" i="13"/>
  <c r="H15" i="13"/>
  <c r="I15" i="13" s="1"/>
  <c r="D15" i="13"/>
  <c r="E15" i="13" s="1"/>
  <c r="W15" i="13" s="1"/>
  <c r="V14" i="13"/>
  <c r="R14" i="13"/>
  <c r="N14" i="13"/>
  <c r="H14" i="13"/>
  <c r="I14" i="13" s="1"/>
  <c r="D14" i="13"/>
  <c r="E14" i="13" s="1"/>
  <c r="V13" i="13"/>
  <c r="R13" i="13"/>
  <c r="N13" i="13"/>
  <c r="H13" i="13"/>
  <c r="I13" i="13" s="1"/>
  <c r="D13" i="13"/>
  <c r="E13" i="13" s="1"/>
  <c r="W13" i="13" s="1"/>
  <c r="V12" i="13"/>
  <c r="R12" i="13"/>
  <c r="N12" i="13"/>
  <c r="H12" i="13"/>
  <c r="I12" i="13" s="1"/>
  <c r="D12" i="13"/>
  <c r="E12" i="13" s="1"/>
  <c r="V11" i="13"/>
  <c r="R11" i="13"/>
  <c r="N11" i="13"/>
  <c r="H11" i="13"/>
  <c r="I11" i="13" s="1"/>
  <c r="D11" i="13"/>
  <c r="E11" i="13" s="1"/>
  <c r="W11" i="13" s="1"/>
  <c r="V10" i="13"/>
  <c r="R10" i="13"/>
  <c r="N10" i="13"/>
  <c r="H10" i="13"/>
  <c r="I10" i="13" s="1"/>
  <c r="D10" i="13"/>
  <c r="E10" i="13" s="1"/>
  <c r="V9" i="13"/>
  <c r="R9" i="13"/>
  <c r="N9" i="13"/>
  <c r="H9" i="13"/>
  <c r="I9" i="13" s="1"/>
  <c r="D9" i="13"/>
  <c r="E9" i="13" s="1"/>
  <c r="W9" i="13" s="1"/>
  <c r="V8" i="13"/>
  <c r="R8" i="13"/>
  <c r="N8" i="13"/>
  <c r="H8" i="13"/>
  <c r="I8" i="13" s="1"/>
  <c r="D8" i="13"/>
  <c r="E8" i="13" s="1"/>
  <c r="V7" i="13"/>
  <c r="R7" i="13"/>
  <c r="N7" i="13"/>
  <c r="H7" i="13"/>
  <c r="I7" i="13" s="1"/>
  <c r="D7" i="13"/>
  <c r="E7" i="13" s="1"/>
  <c r="W7" i="13" s="1"/>
  <c r="V6" i="13"/>
  <c r="R6" i="13"/>
  <c r="N6" i="13"/>
  <c r="D6" i="13"/>
  <c r="E6" i="13" s="1"/>
  <c r="H6" i="13"/>
  <c r="I6" i="13" s="1"/>
  <c r="V5" i="13"/>
  <c r="R5" i="13"/>
  <c r="N5" i="13"/>
  <c r="H5" i="13"/>
  <c r="I5" i="13" s="1"/>
  <c r="D5" i="13"/>
  <c r="E5" i="13" s="1"/>
  <c r="W5" i="13" s="1"/>
  <c r="V4" i="13"/>
  <c r="R4" i="13"/>
  <c r="N4" i="13"/>
  <c r="H4" i="13"/>
  <c r="I4" i="13" s="1"/>
  <c r="D4" i="13"/>
  <c r="E4" i="13" s="1"/>
  <c r="R3" i="13"/>
  <c r="N3" i="13"/>
  <c r="A3" i="13"/>
  <c r="V2" i="13"/>
  <c r="R2" i="13"/>
  <c r="N2" i="13"/>
  <c r="D2" i="13"/>
  <c r="E2" i="13" s="1"/>
  <c r="W2" i="13" s="1"/>
  <c r="H2" i="13"/>
  <c r="I2" i="13" s="1"/>
  <c r="W84" i="13"/>
  <c r="W97" i="13" l="1"/>
  <c r="W102" i="13"/>
  <c r="V3" i="13"/>
  <c r="W4" i="13"/>
  <c r="W8" i="13"/>
  <c r="W10" i="13"/>
  <c r="W12" i="13"/>
  <c r="W19" i="13"/>
  <c r="W21" i="13"/>
  <c r="W23" i="13"/>
  <c r="W25" i="13"/>
  <c r="W29" i="13"/>
  <c r="W44" i="13"/>
  <c r="W49" i="13"/>
  <c r="W57" i="13"/>
  <c r="W59" i="13"/>
  <c r="W63" i="13"/>
  <c r="W68" i="13"/>
  <c r="V71" i="13"/>
  <c r="W33" i="13"/>
  <c r="W39" i="13"/>
  <c r="W43" i="13"/>
  <c r="W65" i="13"/>
  <c r="W70" i="13"/>
  <c r="W75" i="13"/>
  <c r="W77" i="13"/>
  <c r="V111" i="13"/>
  <c r="W3" i="13"/>
  <c r="W16" i="13"/>
  <c r="W38" i="13"/>
  <c r="W41" i="13"/>
  <c r="W89" i="13"/>
  <c r="W91" i="13"/>
  <c r="W98" i="13"/>
  <c r="W108" i="13"/>
  <c r="W110" i="13"/>
  <c r="W112" i="13"/>
  <c r="W114" i="13"/>
  <c r="W116" i="13"/>
  <c r="W118" i="13"/>
  <c r="W120" i="13"/>
  <c r="W122" i="13"/>
  <c r="W124" i="13"/>
  <c r="W126" i="13"/>
  <c r="W128" i="13"/>
  <c r="W130" i="13"/>
  <c r="W131" i="13"/>
  <c r="W6" i="13"/>
  <c r="W14" i="13"/>
  <c r="W18" i="13"/>
  <c r="W31" i="13"/>
  <c r="W35" i="13"/>
  <c r="W37" i="13"/>
  <c r="W51" i="13"/>
  <c r="W53" i="13"/>
  <c r="W55" i="13"/>
  <c r="W61" i="13"/>
  <c r="W66" i="13"/>
  <c r="W67" i="13"/>
  <c r="W72" i="13"/>
  <c r="W74" i="13"/>
  <c r="W86" i="13"/>
  <c r="W93" i="13"/>
  <c r="W95" i="13"/>
  <c r="W100" i="13"/>
  <c r="W105" i="13"/>
  <c r="W134" i="13"/>
  <c r="U3" i="6" l="1"/>
  <c r="U6" i="6" s="1"/>
  <c r="I28" i="16" l="1"/>
  <c r="F35" i="16"/>
  <c r="Q6" i="6"/>
  <c r="I35" i="16"/>
  <c r="C31" i="16" l="1"/>
  <c r="K31" i="16" s="1"/>
  <c r="I38" i="16"/>
  <c r="F38" i="16" l="1"/>
  <c r="C28" i="16"/>
  <c r="C35" i="16"/>
  <c r="K35" i="16" s="1"/>
  <c r="C38" i="16" l="1"/>
  <c r="K38" i="16" l="1"/>
</calcChain>
</file>

<file path=xl/comments1.xml><?xml version="1.0" encoding="utf-8"?>
<comments xmlns="http://schemas.openxmlformats.org/spreadsheetml/2006/main">
  <authors>
    <author>Oliver, Patricia G</author>
    <author>tc={834E9EC3-731E-4496-80AE-4E632902F814}</author>
  </authors>
  <commentList>
    <comment ref="N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Appointment FTE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cFTE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Research effort (actual total effort = Research FTE)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Start Date of new faculty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Enter Base Salary which is included in the Faculty members offer letter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Direct research expense that should be covered by Contracts and Grants.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Dept funding or non OSR research funding (annual amount)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Supplement that is included in their offer letter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Non personnel expenses not covered by contracts and grants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anticipated state funding for this new Faculty member (eg Chair commitment)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additional duty pay anticipated.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state funding that is anticipated for this recruitment.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Startup funding for Faculty. Enter total amount (front loaded into year 1)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F&amp;A funding allocated and/or generated for this new Faculty member. Returned F&amp;A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calculate benefits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Salary and benefits associated with research funding that is anticipated for this recruitment. Auto Calculated using research FTE.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start up expenses for the lab and other expenses for this new faculty members lab. Enter total amount.  (front loaded in year 1)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contracts and grants direct revenue for faculty member, annual amount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Research/lab staff salary and benefits (yearly amount)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trust/contract trust/Professorship/Med Foundation  funding that is anticipated for this recruitment.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annual expenses for other type of expenses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Professorship and/or trust funds associated with this new Faculty member (yearly amount)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PhD student salary and benefits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This cell will calculate the Cost Share + benefits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annual expenses for other type of expenses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startup funding allocated to this new Faculty member (front loaded to year 1, eg DO, OoR)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increase % for research staff expenses</t>
        </r>
      </text>
    </comment>
    <comment ref="I13" authorId="1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Ex: core facility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annual expenses for other type of expenses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Anticipated ramp for yearly revenue and expenses</t>
        </r>
      </text>
    </comment>
  </commentList>
</comments>
</file>

<file path=xl/sharedStrings.xml><?xml version="1.0" encoding="utf-8"?>
<sst xmlns="http://schemas.openxmlformats.org/spreadsheetml/2006/main" count="1485" uniqueCount="384">
  <si>
    <t>Supplement</t>
  </si>
  <si>
    <t>Other</t>
  </si>
  <si>
    <t>Dean's Funds</t>
  </si>
  <si>
    <t>Enterprise Funds</t>
  </si>
  <si>
    <t>Contracts &amp; Grants</t>
  </si>
  <si>
    <t>Hospital Contracts</t>
  </si>
  <si>
    <t>Funding Source Types</t>
  </si>
  <si>
    <t>&lt;Select&gt;</t>
  </si>
  <si>
    <t>NOTES:</t>
  </si>
  <si>
    <t xml:space="preserve">1) </t>
  </si>
  <si>
    <t xml:space="preserve">2) </t>
  </si>
  <si>
    <t xml:space="preserve">3) </t>
  </si>
  <si>
    <t>Total</t>
  </si>
  <si>
    <t>External Dept</t>
  </si>
  <si>
    <t>Department Role</t>
  </si>
  <si>
    <t>Education Role</t>
  </si>
  <si>
    <t>Use this to indicate roles funded by 3-14801</t>
  </si>
  <si>
    <t>Use this to indicate roles funded by 3-14833</t>
  </si>
  <si>
    <t>Instructions and internal Notes (do not print for distributed copy)</t>
  </si>
  <si>
    <t>wRVUs</t>
  </si>
  <si>
    <t>UCRF</t>
  </si>
  <si>
    <t>Appt FTE:</t>
  </si>
  <si>
    <t>Clinical FTE:</t>
  </si>
  <si>
    <t>MGMA Specialty</t>
  </si>
  <si>
    <t>2015 wRVU Comp Median</t>
  </si>
  <si>
    <t>2016 wRVU Comp Median</t>
  </si>
  <si>
    <t>2017 wRVU Comp Median</t>
  </si>
  <si>
    <t>2018 MGMA wRVU Average</t>
  </si>
  <si>
    <t>2015 Provider Count</t>
  </si>
  <si>
    <t>2016 Provider Count</t>
  </si>
  <si>
    <t>2017 Provider Count</t>
  </si>
  <si>
    <t>2018 wRVU Provider Count Average</t>
  </si>
  <si>
    <t>2015 MGMA Comp Median</t>
  </si>
  <si>
    <t>2016 MGMA Comp Median</t>
  </si>
  <si>
    <t>2017 MGMA Comp Median</t>
  </si>
  <si>
    <t>2018 MGMA Comp Average</t>
  </si>
  <si>
    <t>2018 Comp Provider Count Average</t>
  </si>
  <si>
    <t>$ per wRVU</t>
  </si>
  <si>
    <t>Low N</t>
  </si>
  <si>
    <t>Count of UNCFP Providers</t>
  </si>
  <si>
    <t>Allergy/Immunology</t>
  </si>
  <si>
    <t>Anesthesiology</t>
  </si>
  <si>
    <t>Anesthesiology: Pain Management</t>
  </si>
  <si>
    <t>Cardiology: Electrophysiology</t>
  </si>
  <si>
    <t>Cardiology: Invasive</t>
  </si>
  <si>
    <t>Cardiology: Invasive-Interventional</t>
  </si>
  <si>
    <t>Cardiology: Noninvasive</t>
  </si>
  <si>
    <t>Critical Care: Intensivist</t>
  </si>
  <si>
    <t>Dermatology</t>
  </si>
  <si>
    <t>Dermatology: Dermatopathology</t>
  </si>
  <si>
    <t>*</t>
  </si>
  <si>
    <t>Dermatology: Mohs Surgery</t>
  </si>
  <si>
    <t>Emergency Medicine</t>
  </si>
  <si>
    <t>Endocrinology/Metabolism</t>
  </si>
  <si>
    <t>Family Medicine (with OB)</t>
  </si>
  <si>
    <t>Family Medicine (without OB)</t>
  </si>
  <si>
    <t>Family Medicine: Ambulatory Only (No Inpatient Work)</t>
  </si>
  <si>
    <t>Family Medicine: Sports Medicine</t>
  </si>
  <si>
    <t>Gastroenterology</t>
  </si>
  <si>
    <t>Gastroenterology: Hepatology</t>
  </si>
  <si>
    <t>Genetics</t>
  </si>
  <si>
    <t>`</t>
  </si>
  <si>
    <t>Geriatrics</t>
  </si>
  <si>
    <t>Hematology/Oncology</t>
  </si>
  <si>
    <t>Hematology/Oncology: Oncology (Only)</t>
  </si>
  <si>
    <t>Hospice/Palliative Care</t>
  </si>
  <si>
    <t>Hospitalist: Internal Medicine</t>
  </si>
  <si>
    <t>Infectious Disease</t>
  </si>
  <si>
    <t>Internal Medicine: Ambulatory Only (No Inpatient Work)</t>
  </si>
  <si>
    <t>Internal Medicine: General</t>
  </si>
  <si>
    <t>Nephrology</t>
  </si>
  <si>
    <t>Neurology</t>
  </si>
  <si>
    <t>Neurology: Epilepsy/EEG</t>
  </si>
  <si>
    <t>Neurology: Neuromuscular</t>
  </si>
  <si>
    <t>Neurology: Stroke Medicine</t>
  </si>
  <si>
    <t>OB/GYN: Gynecological Oncology</t>
  </si>
  <si>
    <t>OB/GYN: Gynecology (Only)</t>
  </si>
  <si>
    <t>OB/GYN: Maternal and Fetal Medicine</t>
  </si>
  <si>
    <t>OB/GYN: Reproductive Endocrinology</t>
  </si>
  <si>
    <t>OB/GYN: Urogynecology</t>
  </si>
  <si>
    <t>Obstetrics/Gynecology: General</t>
  </si>
  <si>
    <t>Ophthalmology</t>
  </si>
  <si>
    <t>Ophthalmology: Corneal and Refractive Surgery</t>
  </si>
  <si>
    <t>Ophthalmology: Glaucoma</t>
  </si>
  <si>
    <t>Ophthalmology: Neurology</t>
  </si>
  <si>
    <t>Ophthalmology: Oculoplastic and Recon Surgery</t>
  </si>
  <si>
    <t>Ophthalmology: Retina</t>
  </si>
  <si>
    <t>Orthopedic (Nonsurgical)</t>
  </si>
  <si>
    <t>Orthopedic Surgery: Foot and Ankle</t>
  </si>
  <si>
    <t>Orthopedic Surgery: General</t>
  </si>
  <si>
    <t>Orthopedic Surgery: Hand</t>
  </si>
  <si>
    <t>Orthopedic Surgery: Hip and Joint</t>
  </si>
  <si>
    <t>Orthopedic Surgery: Oncology</t>
  </si>
  <si>
    <t>Orthopedic Surgery: Shoulder/Elbow</t>
  </si>
  <si>
    <t>Orthopedic Surgery: Spine</t>
  </si>
  <si>
    <t>Orthopedic Surgery: Sports Medicine</t>
  </si>
  <si>
    <t>Orthopedic Surgery: Trauma</t>
  </si>
  <si>
    <t>Otorhinolaryngology</t>
  </si>
  <si>
    <t>Pathology: Anatomic</t>
  </si>
  <si>
    <t>Pathology: Anatomic and Clinical</t>
  </si>
  <si>
    <t>Pathology: Anatomic-Autopsy</t>
  </si>
  <si>
    <t>Pathology: Anatomic-Cytopathology</t>
  </si>
  <si>
    <t>Pathology: Anatomic-Neuropathology</t>
  </si>
  <si>
    <t>Pathology: Anatomic-Renal</t>
  </si>
  <si>
    <t>Pathology: Clinical</t>
  </si>
  <si>
    <t>Pathology: Clinical-Hematopathology</t>
  </si>
  <si>
    <t>Pathology: Surgical</t>
  </si>
  <si>
    <t>Pediatrics: Adolescent Medicine</t>
  </si>
  <si>
    <t>Pediatrics: Allergy/Immunology</t>
  </si>
  <si>
    <t>Pediatrics: Anesthesiology</t>
  </si>
  <si>
    <t>Pediatrics: Bone Marrow Transplant</t>
  </si>
  <si>
    <t>Pediatrics: Cardiology</t>
  </si>
  <si>
    <t>Pediatrics: Cardiovascular Surgery</t>
  </si>
  <si>
    <t>Pediatrics: Child Development</t>
  </si>
  <si>
    <t>Pediatrics: Critical Care/Intensivist</t>
  </si>
  <si>
    <t>Pediatrics: Dermatology</t>
  </si>
  <si>
    <t>Pediatrics: Emergency Medicine</t>
  </si>
  <si>
    <t>Pediatrics: Endocrinology</t>
  </si>
  <si>
    <t>Pediatrics: Gastroenterology</t>
  </si>
  <si>
    <t>Pediatrics: General</t>
  </si>
  <si>
    <t>Pediatrics: Genetics</t>
  </si>
  <si>
    <t>Pediatrics: Hematology/Oncology</t>
  </si>
  <si>
    <t>Pediatrics: Hospitalist</t>
  </si>
  <si>
    <t>Pediatrics: Hospitalist-Internal Medicine</t>
  </si>
  <si>
    <t>Pediatrics: Infectious Disease</t>
  </si>
  <si>
    <t>Pediatrics: Internal Medicine</t>
  </si>
  <si>
    <t>Pediatrics: Neonatal Medicine</t>
  </si>
  <si>
    <t>Pediatrics: Nephrology</t>
  </si>
  <si>
    <t>Pediatrics: Neurological Surgery</t>
  </si>
  <si>
    <t>Pediatrics: Neurology</t>
  </si>
  <si>
    <t>Pediatrics: Ophthalmology</t>
  </si>
  <si>
    <t>Pediatrics: Orthopedic Surgery</t>
  </si>
  <si>
    <t>Pediatrics: Otorhinolaryngology</t>
  </si>
  <si>
    <t>Pediatrics: Plastic and Reconstructive Surgery</t>
  </si>
  <si>
    <t>Pediatrics: Pulmonology</t>
  </si>
  <si>
    <t>Pediatrics: Radiology</t>
  </si>
  <si>
    <t>Pediatrics: Rheumatology</t>
  </si>
  <si>
    <t>Pediatrics: Surgery</t>
  </si>
  <si>
    <t>Pediatrics: Urgent Care</t>
  </si>
  <si>
    <t>Pediatrics: Urology</t>
  </si>
  <si>
    <t>Physiatry (Physical Medicine and Rehabilitation)</t>
  </si>
  <si>
    <t>Podiatry: General</t>
  </si>
  <si>
    <t>Psychiatry: Child and Adolescent</t>
  </si>
  <si>
    <t>Psychiatry: General</t>
  </si>
  <si>
    <t>Pulmonary Medicine: Critical Care</t>
  </si>
  <si>
    <t>Pulmonary Medicine: General</t>
  </si>
  <si>
    <t>Pulmonary Medicine: General and Critical Care</t>
  </si>
  <si>
    <t>Radiation Oncology</t>
  </si>
  <si>
    <t>Radiology: Diagnostic</t>
  </si>
  <si>
    <t>Radiology: Interventional</t>
  </si>
  <si>
    <t>Radiology: Neurological</t>
  </si>
  <si>
    <t>Radiology: Nuclear Medicine</t>
  </si>
  <si>
    <t>Rheumatology</t>
  </si>
  <si>
    <t>Sleep Medicine</t>
  </si>
  <si>
    <t>Surgery: Breast</t>
  </si>
  <si>
    <t>Surgery: Cardiovascular</t>
  </si>
  <si>
    <t>Surgery: Colon and Rectal</t>
  </si>
  <si>
    <t>Surgery: General</t>
  </si>
  <si>
    <t>Surgery: Neurological</t>
  </si>
  <si>
    <t>Surgery: Oncology</t>
  </si>
  <si>
    <t>Surgery: Oral</t>
  </si>
  <si>
    <t>Surgery: Plastic and Reconstruction</t>
  </si>
  <si>
    <t>Surgery: Plastic and Reconstruction-Hand</t>
  </si>
  <si>
    <t>Surgery: Thoracic (Primary)</t>
  </si>
  <si>
    <t>Surgery: Transplant</t>
  </si>
  <si>
    <t>Surgery: Transplant-Liver</t>
  </si>
  <si>
    <t>Surgery: Trauma</t>
  </si>
  <si>
    <t>Surgery: Trauma-Burn</t>
  </si>
  <si>
    <t>Surgery: Vascular (Primary)</t>
  </si>
  <si>
    <t>Urology</t>
  </si>
  <si>
    <t>Research</t>
  </si>
  <si>
    <t>Specialty</t>
  </si>
  <si>
    <t>Low N Replacement Used</t>
  </si>
  <si>
    <t>Pediatrics: Bone Marrow Transplan</t>
  </si>
  <si>
    <t>Not Used</t>
  </si>
  <si>
    <t>Department</t>
  </si>
  <si>
    <t>&lt;Select Dept ID&gt;</t>
  </si>
  <si>
    <t>Check</t>
  </si>
  <si>
    <t>-</t>
  </si>
  <si>
    <t>&lt;Y or N&gt;</t>
  </si>
  <si>
    <t>Y</t>
  </si>
  <si>
    <t>N</t>
  </si>
  <si>
    <t>Overhead Reimbursement</t>
  </si>
  <si>
    <t>Benefits Reimbursement</t>
  </si>
  <si>
    <t>Start Date</t>
  </si>
  <si>
    <t>Malpractice Expense</t>
  </si>
  <si>
    <t>Base Salary</t>
  </si>
  <si>
    <t>Additional Duties Pay</t>
  </si>
  <si>
    <t>Outside Contracts</t>
  </si>
  <si>
    <t>Impact to Department</t>
  </si>
  <si>
    <t>CONTRIBUTION / (DEFICIT) TO DEPARTMENT</t>
  </si>
  <si>
    <t>YEAR 1</t>
  </si>
  <si>
    <t>YEAR 2</t>
  </si>
  <si>
    <t>YEAR 3</t>
  </si>
  <si>
    <t>Amount</t>
  </si>
  <si>
    <t>Fiscal Year End</t>
  </si>
  <si>
    <t>Revenue/Gain to Department</t>
  </si>
  <si>
    <t>Expense/Loss to Department</t>
  </si>
  <si>
    <t>3 YEAR TOTAL</t>
  </si>
  <si>
    <t>Prorated Amount</t>
  </si>
  <si>
    <t>Fiscal Year Beginning</t>
  </si>
  <si>
    <t>AMGA Otorhinolaryngology: Head &amp; Neck</t>
  </si>
  <si>
    <t>AMGA Pain Medicine - Non Anesthesiology</t>
  </si>
  <si>
    <t>$ per wRVU use in Model w/ Peds Bump</t>
  </si>
  <si>
    <t>Dept</t>
  </si>
  <si>
    <t>Survey</t>
  </si>
  <si>
    <t>PMT w/o Peds Boost</t>
  </si>
  <si>
    <t>PMT w/ Peds Boost</t>
  </si>
  <si>
    <t>FTEs</t>
  </si>
  <si>
    <t>Decision
(2 year term approval unless otherwise stated)</t>
  </si>
  <si>
    <t>Derm</t>
  </si>
  <si>
    <t>AMGA</t>
  </si>
  <si>
    <t>Approved</t>
  </si>
  <si>
    <t>x</t>
  </si>
  <si>
    <t>ENT</t>
  </si>
  <si>
    <t>MGMA</t>
  </si>
  <si>
    <t>Fam Med</t>
  </si>
  <si>
    <t>Med</t>
  </si>
  <si>
    <t>AAMC/FPSC</t>
  </si>
  <si>
    <t>Nephrology w/o Dialysis</t>
  </si>
  <si>
    <t>Ophth</t>
  </si>
  <si>
    <t>AUPO</t>
  </si>
  <si>
    <t>MGMA - low 'N'</t>
  </si>
  <si>
    <t>Ortho</t>
  </si>
  <si>
    <t>Orthopedic Oncology</t>
  </si>
  <si>
    <t>Path</t>
  </si>
  <si>
    <t>Peds</t>
  </si>
  <si>
    <t>PMR</t>
  </si>
  <si>
    <t>Surg</t>
  </si>
  <si>
    <t>Approved - 1 year term</t>
  </si>
  <si>
    <t>AAAP</t>
  </si>
  <si>
    <t>Approved w/ No Peds Boost</t>
  </si>
  <si>
    <t>NeuroSurg</t>
  </si>
  <si>
    <t>Denied</t>
  </si>
  <si>
    <t>Denied - Recommended to group with other Pathology Request</t>
  </si>
  <si>
    <t>Pending Follow-up on 9/24</t>
  </si>
  <si>
    <t>Change</t>
  </si>
  <si>
    <t>&lt;Select MGMA Specialty&gt;</t>
  </si>
  <si>
    <t>Total Salary/Benefits on Clinical Funds</t>
  </si>
  <si>
    <t>Other expenses</t>
  </si>
  <si>
    <t>Hospitalist: Family Medicine</t>
  </si>
  <si>
    <t>Ophthalmology: Oculoplastic and Reconstructive Surgery</t>
  </si>
  <si>
    <t>Pain Management: Nonanesthesia</t>
  </si>
  <si>
    <t>Pathology: Clinical-Transfusion Medicine</t>
  </si>
  <si>
    <t>Pediatrics: Neurosurgery</t>
  </si>
  <si>
    <t>Pediatrics: Plastic and Reconstruction Surgery</t>
  </si>
  <si>
    <t>Psychiatry: Addiction Medicine</t>
  </si>
  <si>
    <t>Psychiatry: Geriatric</t>
  </si>
  <si>
    <t>Surgery: Bariatric</t>
  </si>
  <si>
    <t>Otolaryngology - Head and Neck Surgery</t>
  </si>
  <si>
    <t>Pain Management - Non-Anesthesiology</t>
  </si>
  <si>
    <t>Family Medicine: Ambulatory Only</t>
  </si>
  <si>
    <t>Hospitalist: Nocturnists</t>
  </si>
  <si>
    <t>APP Net Receipts</t>
  </si>
  <si>
    <t>MD Net Receipts</t>
  </si>
  <si>
    <t>Specialty level</t>
  </si>
  <si>
    <t>Rate with Peds Boost</t>
  </si>
  <si>
    <t>WRVU</t>
  </si>
  <si>
    <t>ASA</t>
  </si>
  <si>
    <t>MGMA FY21 Rate</t>
  </si>
  <si>
    <t>Replacement Yes or No?</t>
  </si>
  <si>
    <t>Replacement Specialty</t>
  </si>
  <si>
    <t>Replacement Rate</t>
  </si>
  <si>
    <t>Final Rate</t>
  </si>
  <si>
    <t>Peds Boost?</t>
  </si>
  <si>
    <t>Yes</t>
  </si>
  <si>
    <t>AMGA Allergy/Immunology</t>
  </si>
  <si>
    <t>No</t>
  </si>
  <si>
    <t>Calculated Plug</t>
  </si>
  <si>
    <t>AMGA Dermatopathology</t>
  </si>
  <si>
    <t>AMGA Sports Medicine</t>
  </si>
  <si>
    <t>AMGA Genetics</t>
  </si>
  <si>
    <t>AMGA Palliative Care</t>
  </si>
  <si>
    <t>AUPO Glaucoma</t>
  </si>
  <si>
    <t>AUPO Ophth: Neurology</t>
  </si>
  <si>
    <t>AUPO Oculoplastic/Recon Surgery</t>
  </si>
  <si>
    <t>Allowed despite low 'n'</t>
  </si>
  <si>
    <t>AAMC/FPSC Surgery: Pediatric Cardiac</t>
  </si>
  <si>
    <t>AAAP Pediatrics: Dermatology</t>
  </si>
  <si>
    <t>AMGA Peds - Infectious Disease</t>
  </si>
  <si>
    <t>AMGA Peds - Neurosurgery</t>
  </si>
  <si>
    <t>AMGA Peds - Rheumatology</t>
  </si>
  <si>
    <t>AMGA Urology - Pediatrics</t>
  </si>
  <si>
    <t>No one uses? Surgery: General</t>
  </si>
  <si>
    <t>Ramp Up %</t>
  </si>
  <si>
    <t>MD wRVUs and Surrogate wRVUs</t>
  </si>
  <si>
    <t>MD ASA Units</t>
  </si>
  <si>
    <t>Benefit Expense on Total Salary</t>
  </si>
  <si>
    <t>UPL Net of Taxes</t>
  </si>
  <si>
    <t>APP Salary &amp; Ben</t>
  </si>
  <si>
    <t>Contract and Grant  receipts</t>
  </si>
  <si>
    <t>Trust Funds</t>
  </si>
  <si>
    <t xml:space="preserve">Research </t>
  </si>
  <si>
    <t>Startup Funding</t>
  </si>
  <si>
    <t>Research FTE</t>
  </si>
  <si>
    <t>NIH Cost Share</t>
  </si>
  <si>
    <t>Research Staff ( salary and benefits)</t>
  </si>
  <si>
    <t>PhD students (salary, benefits &amp; tuition)</t>
  </si>
  <si>
    <t>Annual Research Expense % +/-</t>
  </si>
  <si>
    <t>Research Staff Salary &amp; Benefits</t>
  </si>
  <si>
    <t>Startup expenses</t>
  </si>
  <si>
    <t>Medicine Administration</t>
  </si>
  <si>
    <t>Cell Biology and Physiology</t>
  </si>
  <si>
    <t>Microbiology and Immunology</t>
  </si>
  <si>
    <t>Biochemistry and Biophysics</t>
  </si>
  <si>
    <t>Pharmacology</t>
  </si>
  <si>
    <t>Biomedical Engineering</t>
  </si>
  <si>
    <t>Social Medicine</t>
  </si>
  <si>
    <t>Biomedical Res Imaging Ctr</t>
  </si>
  <si>
    <t>Genome Sciences</t>
  </si>
  <si>
    <t>UNC McAllister Heart Institute</t>
  </si>
  <si>
    <t>UNC Kidney Center</t>
  </si>
  <si>
    <t>Gene Therapy Center</t>
  </si>
  <si>
    <t>Neuroscience Center</t>
  </si>
  <si>
    <t>Alcohol Studies Center</t>
  </si>
  <si>
    <t>Toxicology Curriculum</t>
  </si>
  <si>
    <t>TraCS Institute</t>
  </si>
  <si>
    <t>UNC School of Medicine</t>
  </si>
  <si>
    <t>State Funding</t>
  </si>
  <si>
    <t>Fringe Rate</t>
  </si>
  <si>
    <t>Estimated Fringe rate</t>
  </si>
  <si>
    <t>Other Funds (comp + benefits minus other sources of salary)</t>
  </si>
  <si>
    <t>Startup funding for Faculty</t>
  </si>
  <si>
    <t>Startup funding for lab</t>
  </si>
  <si>
    <t>F&amp;A Funding</t>
  </si>
  <si>
    <t>Please list New Startup sources (eg. Dean's office and OoR)</t>
  </si>
  <si>
    <r>
      <t xml:space="preserve">Startup funding </t>
    </r>
    <r>
      <rPr>
        <i/>
        <sz val="10"/>
        <rFont val="Arial"/>
        <family val="2"/>
      </rPr>
      <t>(New Funding - total amount)</t>
    </r>
  </si>
  <si>
    <r>
      <t xml:space="preserve">Contract &amp; Grant revenue </t>
    </r>
    <r>
      <rPr>
        <i/>
        <sz val="10"/>
        <rFont val="Arial"/>
        <family val="2"/>
      </rPr>
      <t>(Direct cost- full year)</t>
    </r>
  </si>
  <si>
    <r>
      <t xml:space="preserve">Other Income </t>
    </r>
    <r>
      <rPr>
        <i/>
        <sz val="10"/>
        <rFont val="Arial"/>
        <family val="2"/>
      </rPr>
      <t>- (e g. Department Funding, Hospital contract,)</t>
    </r>
  </si>
  <si>
    <r>
      <t>State Funds</t>
    </r>
    <r>
      <rPr>
        <i/>
        <sz val="10"/>
        <rFont val="Arial"/>
        <family val="2"/>
      </rPr>
      <t xml:space="preserve"> (Sal &amp; Ben)</t>
    </r>
  </si>
  <si>
    <r>
      <t xml:space="preserve">Research Funds </t>
    </r>
    <r>
      <rPr>
        <i/>
        <sz val="10"/>
        <rFont val="Arial"/>
        <family val="2"/>
      </rPr>
      <t>(Sal &amp; Ben)</t>
    </r>
  </si>
  <si>
    <r>
      <t xml:space="preserve">Trust Funds </t>
    </r>
    <r>
      <rPr>
        <i/>
        <sz val="10"/>
        <rFont val="Arial"/>
        <family val="2"/>
      </rPr>
      <t>(Sal &amp; Ben)</t>
    </r>
  </si>
  <si>
    <r>
      <t xml:space="preserve">Cost Share </t>
    </r>
    <r>
      <rPr>
        <i/>
        <sz val="10"/>
        <rFont val="Arial"/>
        <family val="2"/>
      </rPr>
      <t>(Sal &amp; Ben)</t>
    </r>
  </si>
  <si>
    <r>
      <t xml:space="preserve">Other </t>
    </r>
    <r>
      <rPr>
        <i/>
        <sz val="10"/>
        <rFont val="Arial"/>
        <family val="2"/>
      </rPr>
      <t>(Sal &amp; Ben)</t>
    </r>
  </si>
  <si>
    <r>
      <t>Department/Other funded non personnel</t>
    </r>
    <r>
      <rPr>
        <i/>
        <sz val="10"/>
        <rFont val="Arial"/>
        <family val="2"/>
      </rPr>
      <t xml:space="preserve"> (e.g. lab &amp; faculty supplies)</t>
    </r>
  </si>
  <si>
    <t>Direct non personnel charged to grants</t>
  </si>
  <si>
    <r>
      <t xml:space="preserve">Trust Funds </t>
    </r>
    <r>
      <rPr>
        <i/>
        <sz val="10"/>
        <rFont val="Arial"/>
        <family val="2"/>
      </rPr>
      <t>(e.g. Professorship)</t>
    </r>
  </si>
  <si>
    <t>Other Income</t>
  </si>
  <si>
    <t>MD/PhD Faculty Salary &amp; Benefits (prorated for Start Dates)</t>
  </si>
  <si>
    <t>Faculty &amp; Staff Proforma</t>
  </si>
  <si>
    <t>Allied Health Sciences</t>
  </si>
  <si>
    <t>UNCFP Receipt Refund Clrng</t>
  </si>
  <si>
    <t>FP ADMIN</t>
  </si>
  <si>
    <t>Medicine - Dept of</t>
  </si>
  <si>
    <t>Family Medicine</t>
  </si>
  <si>
    <t>Pediatrics</t>
  </si>
  <si>
    <t>Psychiatry</t>
  </si>
  <si>
    <t>Obstetrics Gynecology</t>
  </si>
  <si>
    <t>Radiology</t>
  </si>
  <si>
    <t>Physical Medicine Rehab</t>
  </si>
  <si>
    <t>Pathology Lab Med</t>
  </si>
  <si>
    <t>Surgery</t>
  </si>
  <si>
    <t>Neurosurgery</t>
  </si>
  <si>
    <t>Otolaryngology (Ent)</t>
  </si>
  <si>
    <t>Orthopaedics</t>
  </si>
  <si>
    <t>Heart Vascular</t>
  </si>
  <si>
    <t>Hillsborough MOB</t>
  </si>
  <si>
    <t>UNCFP Affiliate Billing</t>
  </si>
  <si>
    <t>UNC HCS Home Office</t>
  </si>
  <si>
    <t>UNCFP Ambulatory Care Clinic</t>
  </si>
  <si>
    <t>UNCFP Carolina Premiere Health</t>
  </si>
  <si>
    <t>UNCFP Comm Based Practices</t>
  </si>
  <si>
    <t>UNCFP Fam Med CBCs</t>
  </si>
  <si>
    <t>Medical Education</t>
  </si>
  <si>
    <t>Graduate Education - SOM</t>
  </si>
  <si>
    <t>Ofc of Information Systems-SOM</t>
  </si>
  <si>
    <t>Univ Cancer Res Fund - Theme 1</t>
  </si>
  <si>
    <t>Nutrition (State Funds)</t>
  </si>
  <si>
    <t>Womens Health Resrch Ctr</t>
  </si>
  <si>
    <t>Maternal and Infant Health Ctr</t>
  </si>
  <si>
    <t>Drug Safety Science Ctr</t>
  </si>
  <si>
    <t>Cys Fibrosis/Pulm Res Admin</t>
  </si>
  <si>
    <t>Enviro Med Asthma and Lung Bio</t>
  </si>
  <si>
    <t>Lineberger Compr Cancer Center</t>
  </si>
  <si>
    <t>Diabetes Ctr for Excellence</t>
  </si>
  <si>
    <t>TEACCH</t>
  </si>
  <si>
    <t>Globl Hlth and Infect Disease</t>
  </si>
  <si>
    <t>Molecular Biology</t>
  </si>
  <si>
    <t>Aging and Health - Center</t>
  </si>
  <si>
    <t>Gastroint Biology and Dis Ctr</t>
  </si>
  <si>
    <t>Thurston Arthritis Res Center</t>
  </si>
  <si>
    <t>Carolina Institute for DD</t>
  </si>
  <si>
    <t>Compensation Funding (total comp + benefits)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</si>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</sst>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.00"/>
    <numFmt numFmtId="168" formatCode="0;[Red]0"/>
    <numFmt numFmtId="169" formatCode="yyyy"/>
    <numFmt numFmtId="170" formatCode="0.000_)"/>
    <numFmt numFmtId="171" formatCode="_ * #,##0.00_)&quot;£&quot;_ ;_ * \(#,##0.00\)&quot;£&quot;_ ;_ * &quot;-&quot;??_)&quot;£&quot;_ ;_ @_ "/>
    <numFmt numFmtId="172" formatCode="#,##0\ &quot;F&quot;;\-#,##0\ &quot;F&quot;"/>
    <numFmt numFmtId="173" formatCode="_ * #,##0_)_£_ ;_ * \(#,##0\)_£_ ;_ * &quot;-&quot;_)_£_ ;_ @_ "/>
    <numFmt numFmtId="174" formatCode="_ * #,##0.00_)_£_ ;_ * \(#,##0.00\)_£_ ;_ * &quot;-&quot;??_)_£_ ;_ @_ "/>
    <numFmt numFmtId="175" formatCode="#,##0.00&quot;£&quot;_);\(#,##0.00&quot;£&quot;\)"/>
    <numFmt numFmtId="176" formatCode="_ * #,##0_)&quot;£&quot;_ ;_ * \(#,##0\)&quot;£&quot;_ ;_ * &quot;-&quot;_)&quot;£&quot;_ ;_ @_ "/>
    <numFmt numFmtId="177" formatCode="0.0000####"/>
    <numFmt numFmtId="178" formatCode="#,##0.000"/>
    <numFmt numFmtId="179" formatCode="#,##0.0000"/>
    <numFmt numFmtId="180" formatCode="_(* #,##0_);_(* \(#,##0\);_(* &quot;-&quot;??_);_(@_)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2"/>
      <name val="Helv"/>
    </font>
    <font>
      <i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1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B050"/>
      <name val="Arial"/>
      <family val="2"/>
    </font>
    <font>
      <strike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ED0D5"/>
        <bgColor indexed="64"/>
      </patternFill>
    </fill>
    <fill>
      <patternFill patternType="solid">
        <fgColor rgb="FFE8E9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891">
    <xf numFmtId="0" fontId="0" fillId="0" borderId="0"/>
    <xf numFmtId="8" fontId="15" fillId="0" borderId="0" applyFont="0" applyFill="0" applyBorder="0" applyAlignment="0" applyProtection="0"/>
    <xf numFmtId="0" fontId="15" fillId="0" borderId="0"/>
    <xf numFmtId="9" fontId="2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0" fontId="12" fillId="0" borderId="0"/>
    <xf numFmtId="9" fontId="1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41" fillId="0" borderId="0"/>
    <xf numFmtId="0" fontId="6" fillId="0" borderId="0"/>
    <xf numFmtId="41" fontId="14" fillId="0" borderId="0"/>
    <xf numFmtId="41" fontId="14" fillId="0" borderId="0"/>
    <xf numFmtId="41" fontId="14" fillId="0" borderId="0"/>
    <xf numFmtId="37" fontId="42" fillId="25" borderId="0" applyNumberFormat="0">
      <protection locked="0"/>
    </xf>
    <xf numFmtId="3" fontId="14" fillId="0" borderId="0"/>
    <xf numFmtId="3" fontId="14" fillId="0" borderId="0"/>
    <xf numFmtId="3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28" fillId="0" borderId="0"/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0" fontId="43" fillId="26" borderId="8" applyAlignment="0">
      <alignment horizontal="right"/>
      <protection locked="0"/>
    </xf>
    <xf numFmtId="0" fontId="44" fillId="27" borderId="0">
      <alignment horizontal="right"/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2" fontId="44" fillId="27" borderId="0">
      <alignment horizontal="right"/>
      <protection locked="0"/>
    </xf>
    <xf numFmtId="167" fontId="45" fillId="0" borderId="0">
      <protection locked="0"/>
    </xf>
    <xf numFmtId="168" fontId="47" fillId="0" borderId="0" applyBorder="0">
      <alignment horizontal="left" vertical="top"/>
    </xf>
    <xf numFmtId="0" fontId="48" fillId="0" borderId="0">
      <protection locked="0"/>
    </xf>
    <xf numFmtId="0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40" fontId="50" fillId="24" borderId="28">
      <protection locked="0"/>
    </xf>
    <xf numFmtId="3" fontId="51" fillId="28" borderId="0">
      <protection locked="0"/>
    </xf>
    <xf numFmtId="4" fontId="51" fillId="28" borderId="0">
      <protection locked="0"/>
    </xf>
    <xf numFmtId="41" fontId="52" fillId="29" borderId="0" applyNumberFormat="0" applyBorder="0">
      <alignment horizontal="center" vertical="top"/>
    </xf>
    <xf numFmtId="0" fontId="17" fillId="30" borderId="0">
      <alignment horizontal="left"/>
    </xf>
    <xf numFmtId="0" fontId="53" fillId="28" borderId="0"/>
    <xf numFmtId="0" fontId="53" fillId="28" borderId="0"/>
    <xf numFmtId="0" fontId="53" fillId="28" borderId="0"/>
    <xf numFmtId="43" fontId="1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55" fillId="0" borderId="0" applyNumberFormat="0"/>
    <xf numFmtId="40" fontId="56" fillId="2" borderId="0" applyBorder="0">
      <alignment horizontal="right"/>
    </xf>
    <xf numFmtId="20" fontId="57" fillId="2" borderId="0" applyBorder="0">
      <alignment horizontal="center"/>
    </xf>
    <xf numFmtId="0" fontId="58" fillId="2" borderId="26" applyBorder="0"/>
    <xf numFmtId="0" fontId="58" fillId="0" borderId="0" applyBorder="0">
      <alignment horizontal="centerContinuous"/>
    </xf>
    <xf numFmtId="0" fontId="59" fillId="0" borderId="0" applyBorder="0">
      <alignment horizontal="centerContinuous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41" fontId="51" fillId="31" borderId="0" applyNumberFormat="0" applyBorder="0">
      <alignment horizontal="center"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60" fillId="0" borderId="14">
      <alignment horizontal="center"/>
    </xf>
    <xf numFmtId="0" fontId="60" fillId="0" borderId="14">
      <alignment horizontal="center"/>
    </xf>
    <xf numFmtId="0" fontId="60" fillId="0" borderId="14">
      <alignment horizontal="center"/>
    </xf>
    <xf numFmtId="3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41" fontId="52" fillId="33" borderId="0" applyNumberFormat="0" applyBorder="0">
      <alignment horizontal="center" vertical="top"/>
    </xf>
    <xf numFmtId="49" fontId="13" fillId="0" borderId="0">
      <alignment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69" fontId="14" fillId="0" borderId="0">
      <alignment horizontal="center" vertical="top"/>
    </xf>
    <xf numFmtId="17" fontId="18" fillId="0" borderId="0" applyBorder="0">
      <alignment horizontal="center" vertical="top"/>
    </xf>
    <xf numFmtId="1" fontId="15" fillId="0" borderId="0"/>
    <xf numFmtId="5" fontId="60" fillId="0" borderId="25" applyAlignment="0" applyProtection="0"/>
    <xf numFmtId="0" fontId="61" fillId="0" borderId="27">
      <alignment horizontal="center"/>
    </xf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170" fontId="62" fillId="0" borderId="0"/>
    <xf numFmtId="3" fontId="14" fillId="0" borderId="0" applyFont="0" applyFill="0" applyBorder="0" applyAlignment="0" applyProtection="0"/>
    <xf numFmtId="37" fontId="14" fillId="0" borderId="0" applyBorder="0">
      <alignment horizontal="left" vertical="top"/>
      <protection locked="0"/>
    </xf>
    <xf numFmtId="37" fontId="14" fillId="0" borderId="0" applyBorder="0">
      <alignment horizontal="left" vertical="top"/>
      <protection locked="0"/>
    </xf>
    <xf numFmtId="5" fontId="14" fillId="0" borderId="0" applyFont="0" applyFill="0" applyBorder="0" applyAlignment="0" applyProtection="0"/>
    <xf numFmtId="38" fontId="53" fillId="28" borderId="0" applyNumberFormat="0" applyBorder="0" applyAlignment="0" applyProtection="0"/>
    <xf numFmtId="0" fontId="63" fillId="0" borderId="10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0" fontId="53" fillId="31" borderId="24" applyNumberFormat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37" fontId="64" fillId="0" borderId="0"/>
    <xf numFmtId="0" fontId="6" fillId="0" borderId="0"/>
    <xf numFmtId="0" fontId="14" fillId="0" borderId="0"/>
    <xf numFmtId="0" fontId="14" fillId="0" borderId="0"/>
    <xf numFmtId="37" fontId="65" fillId="2" borderId="0" applyFill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39" fillId="8" borderId="22" applyNumberFormat="0" applyFont="0" applyAlignment="0" applyProtection="0"/>
    <xf numFmtId="0" fontId="39" fillId="8" borderId="22" applyNumberFormat="0" applyFont="0" applyAlignment="0" applyProtection="0"/>
    <xf numFmtId="0" fontId="39" fillId="8" borderId="22" applyNumberFormat="0" applyFont="0" applyAlignment="0" applyProtection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169" fontId="14" fillId="0" borderId="0">
      <alignment horizontal="center" vertical="top"/>
    </xf>
    <xf numFmtId="169" fontId="14" fillId="0" borderId="0">
      <alignment horizontal="center" vertical="top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1" fontId="15" fillId="0" borderId="0"/>
    <xf numFmtId="0" fontId="6" fillId="1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6" fillId="1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" fillId="1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1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" fillId="2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" fillId="14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6" fillId="1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" fillId="2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11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38" fillId="15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38" fillId="1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38" fillId="21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38" fillId="23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38" fillId="9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38" fillId="16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37" fillId="7" borderId="20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9" fillId="0" borderId="0" applyFill="0" applyBorder="0" applyProtection="0">
      <alignment horizontal="center"/>
      <protection locked="0"/>
    </xf>
    <xf numFmtId="0" fontId="70" fillId="48" borderId="30" applyNumberFormat="0" applyAlignment="0" applyProtection="0"/>
    <xf numFmtId="0" fontId="70" fillId="48" borderId="30" applyNumberFormat="0" applyAlignment="0" applyProtection="0"/>
    <xf numFmtId="0" fontId="70" fillId="48" borderId="30" applyNumberFormat="0" applyAlignment="0" applyProtection="0"/>
    <xf numFmtId="0" fontId="70" fillId="48" borderId="30" applyNumberFormat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71" fillId="0" borderId="0" applyFill="0" applyBorder="0" applyAlignment="0" applyProtection="0">
      <protection locked="0"/>
    </xf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5" fillId="0" borderId="0"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7" fontId="45" fillId="0" borderId="0">
      <protection locked="0"/>
    </xf>
    <xf numFmtId="177" fontId="14" fillId="0" borderId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35" fillId="0" borderId="19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76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9" fillId="0" borderId="0" applyFill="0" applyAlignment="0" applyProtection="0">
      <protection locked="0"/>
    </xf>
    <xf numFmtId="0" fontId="69" fillId="0" borderId="8" applyFill="0" applyAlignment="0" applyProtection="0">
      <protection locked="0"/>
    </xf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5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8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36" fillId="7" borderId="21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9" fontId="53" fillId="0" borderId="0" applyFill="0" applyBorder="0" applyAlignment="0" applyProtection="0"/>
    <xf numFmtId="0" fontId="82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83" fillId="0" borderId="8" applyNumberFormat="0" applyFill="0" applyProtection="0">
      <alignment horizontal="center" wrapText="1"/>
    </xf>
    <xf numFmtId="0" fontId="83" fillId="0" borderId="8" applyNumberFormat="0" applyFill="0" applyProtection="0">
      <alignment horizontal="center"/>
    </xf>
    <xf numFmtId="3" fontId="53" fillId="0" borderId="0" applyFill="0" applyBorder="0" applyAlignment="0" applyProtection="0"/>
    <xf numFmtId="4" fontId="53" fillId="0" borderId="0" applyFill="0" applyBorder="0" applyAlignment="0" applyProtection="0"/>
    <xf numFmtId="5" fontId="53" fillId="0" borderId="0" applyFill="0" applyBorder="0" applyAlignment="0" applyProtection="0"/>
    <xf numFmtId="178" fontId="53" fillId="0" borderId="0" applyFill="0" applyBorder="0" applyAlignment="0" applyProtection="0"/>
    <xf numFmtId="179" fontId="53" fillId="0" borderId="0" applyFill="0" applyBorder="0" applyAlignment="0" applyProtection="0"/>
    <xf numFmtId="10" fontId="53" fillId="0" borderId="0" applyFill="0" applyBorder="0" applyProtection="0">
      <alignment horizontal="right"/>
    </xf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2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3" fillId="0" borderId="38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38">
      <alignment horizontal="left" vertical="center"/>
    </xf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5" fontId="60" fillId="0" borderId="25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0" fillId="0" borderId="14">
      <alignment horizontal="center"/>
    </xf>
    <xf numFmtId="0" fontId="60" fillId="0" borderId="14">
      <alignment horizont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3" fillId="0" borderId="12">
      <alignment horizontal="left" vertical="center"/>
    </xf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68" fillId="30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77" fillId="39" borderId="29" applyNumberForma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14" fillId="36" borderId="35" applyNumberFormat="0" applyFon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81" fillId="30" borderId="36" applyNumberFormat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40" fillId="0" borderId="37" applyNumberFormat="0" applyFill="0" applyAlignment="0" applyProtection="0"/>
    <xf numFmtId="0" fontId="6" fillId="0" borderId="0"/>
    <xf numFmtId="43" fontId="86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25" fillId="0" borderId="0" xfId="0" applyFont="1"/>
    <xf numFmtId="0" fontId="25" fillId="2" borderId="0" xfId="2" applyFont="1" applyFill="1" applyBorder="1" applyAlignment="1" applyProtection="1">
      <alignment horizontal="left"/>
    </xf>
    <xf numFmtId="0" fontId="14" fillId="2" borderId="0" xfId="2" applyFont="1" applyFill="1" applyBorder="1" applyAlignment="1" applyProtection="1">
      <alignment horizontal="left"/>
    </xf>
    <xf numFmtId="0" fontId="24" fillId="2" borderId="0" xfId="2" applyFont="1" applyFill="1" applyBorder="1" applyAlignment="1" applyProtection="1">
      <protection locked="0"/>
    </xf>
    <xf numFmtId="0" fontId="13" fillId="2" borderId="0" xfId="2" applyFont="1" applyFill="1" applyBorder="1" applyAlignment="1" applyProtection="1">
      <alignment horizontal="right"/>
      <protection locked="0"/>
    </xf>
    <xf numFmtId="0" fontId="14" fillId="0" borderId="0" xfId="0" applyFont="1"/>
    <xf numFmtId="0" fontId="30" fillId="0" borderId="0" xfId="4" applyFont="1" applyFill="1" applyBorder="1" applyAlignment="1">
      <alignment horizontal="left" wrapText="1"/>
    </xf>
    <xf numFmtId="0" fontId="27" fillId="0" borderId="0" xfId="53" applyFont="1" applyAlignment="1">
      <alignment horizontal="center" wrapText="1"/>
    </xf>
    <xf numFmtId="0" fontId="27" fillId="0" borderId="0" xfId="53" applyFont="1" applyFill="1" applyAlignment="1">
      <alignment horizontal="center" wrapText="1"/>
    </xf>
    <xf numFmtId="2" fontId="27" fillId="6" borderId="0" xfId="53" applyNumberFormat="1" applyFont="1" applyFill="1" applyAlignment="1">
      <alignment horizontal="center" wrapText="1"/>
    </xf>
    <xf numFmtId="0" fontId="30" fillId="0" borderId="0" xfId="4" applyFont="1" applyFill="1" applyAlignment="1">
      <alignment horizontal="center" wrapText="1"/>
    </xf>
    <xf numFmtId="165" fontId="27" fillId="0" borderId="0" xfId="53" applyNumberFormat="1" applyFont="1" applyAlignment="1">
      <alignment horizontal="center" wrapText="1"/>
    </xf>
    <xf numFmtId="165" fontId="27" fillId="0" borderId="0" xfId="53" applyNumberFormat="1" applyFont="1" applyFill="1" applyAlignment="1">
      <alignment horizontal="center" wrapText="1"/>
    </xf>
    <xf numFmtId="165" fontId="27" fillId="6" borderId="0" xfId="53" applyNumberFormat="1" applyFont="1" applyFill="1" applyAlignment="1">
      <alignment horizontal="center" wrapText="1"/>
    </xf>
    <xf numFmtId="0" fontId="7" fillId="0" borderId="0" xfId="53"/>
    <xf numFmtId="0" fontId="31" fillId="0" borderId="0" xfId="4" applyFont="1" applyFill="1" applyBorder="1" applyAlignment="1">
      <alignment horizontal="left"/>
    </xf>
    <xf numFmtId="0" fontId="7" fillId="0" borderId="0" xfId="53" applyAlignment="1">
      <alignment horizontal="center"/>
    </xf>
    <xf numFmtId="2" fontId="7" fillId="0" borderId="0" xfId="53" applyNumberFormat="1" applyAlignment="1">
      <alignment horizontal="center"/>
    </xf>
    <xf numFmtId="0" fontId="7" fillId="0" borderId="0" xfId="53" applyNumberFormat="1" applyAlignment="1">
      <alignment horizontal="center"/>
    </xf>
    <xf numFmtId="2" fontId="0" fillId="0" borderId="0" xfId="54" applyNumberFormat="1" applyFont="1" applyAlignment="1">
      <alignment horizontal="center"/>
    </xf>
    <xf numFmtId="0" fontId="31" fillId="0" borderId="0" xfId="4" applyFont="1" applyFill="1" applyAlignment="1">
      <alignment horizontal="left"/>
    </xf>
    <xf numFmtId="165" fontId="7" fillId="0" borderId="0" xfId="53" applyNumberFormat="1" applyAlignment="1">
      <alignment horizontal="center"/>
    </xf>
    <xf numFmtId="166" fontId="7" fillId="0" borderId="0" xfId="53" applyNumberFormat="1"/>
    <xf numFmtId="43" fontId="0" fillId="0" borderId="0" xfId="54" applyFont="1"/>
    <xf numFmtId="0" fontId="7" fillId="0" borderId="0" xfId="53" applyFill="1"/>
    <xf numFmtId="0" fontId="7" fillId="0" borderId="0" xfId="53" applyAlignment="1">
      <alignment horizontal="left"/>
    </xf>
    <xf numFmtId="0" fontId="7" fillId="0" borderId="0" xfId="53" applyNumberFormat="1"/>
    <xf numFmtId="0" fontId="27" fillId="0" borderId="16" xfId="53" applyFont="1" applyBorder="1"/>
    <xf numFmtId="0" fontId="27" fillId="6" borderId="16" xfId="53" applyFont="1" applyFill="1" applyBorder="1"/>
    <xf numFmtId="0" fontId="27" fillId="0" borderId="16" xfId="53" applyFont="1" applyFill="1" applyBorder="1"/>
    <xf numFmtId="0" fontId="27" fillId="0" borderId="12" xfId="0" applyFont="1" applyBorder="1"/>
    <xf numFmtId="43" fontId="7" fillId="0" borderId="0" xfId="53" applyNumberFormat="1"/>
    <xf numFmtId="44" fontId="0" fillId="0" borderId="0" xfId="52" applyFont="1"/>
    <xf numFmtId="14" fontId="0" fillId="0" borderId="40" xfId="0" applyNumberFormat="1" applyBorder="1"/>
    <xf numFmtId="0" fontId="14" fillId="0" borderId="43" xfId="0" applyFont="1" applyBorder="1"/>
    <xf numFmtId="0" fontId="0" fillId="0" borderId="44" xfId="0" applyBorder="1"/>
    <xf numFmtId="43" fontId="0" fillId="0" borderId="42" xfId="1883" applyFont="1" applyBorder="1"/>
    <xf numFmtId="180" fontId="0" fillId="0" borderId="5" xfId="1883" applyNumberFormat="1" applyFont="1" applyBorder="1"/>
    <xf numFmtId="180" fontId="0" fillId="0" borderId="42" xfId="1883" applyNumberFormat="1" applyFont="1" applyBorder="1"/>
    <xf numFmtId="0" fontId="87" fillId="6" borderId="0" xfId="0" applyFont="1" applyFill="1" applyAlignment="1">
      <alignment horizontal="center" vertical="center" wrapText="1"/>
    </xf>
    <xf numFmtId="0" fontId="69" fillId="51" borderId="46" xfId="1884" quotePrefix="1" applyFont="1" applyFill="1" applyBorder="1" applyAlignment="1">
      <alignment horizontal="center" vertical="center" wrapText="1" readingOrder="1"/>
    </xf>
    <xf numFmtId="0" fontId="69" fillId="51" borderId="46" xfId="1884" applyFont="1" applyFill="1" applyBorder="1" applyAlignment="1">
      <alignment horizontal="center" vertical="center" wrapText="1" readingOrder="1"/>
    </xf>
    <xf numFmtId="0" fontId="69" fillId="51" borderId="46" xfId="1884" applyFont="1" applyFill="1" applyBorder="1" applyAlignment="1">
      <alignment horizontal="center" vertical="center" wrapText="1"/>
    </xf>
    <xf numFmtId="0" fontId="5" fillId="0" borderId="0" xfId="1884" applyBorder="1"/>
    <xf numFmtId="0" fontId="88" fillId="52" borderId="0" xfId="1884" applyFont="1" applyFill="1" applyBorder="1" applyAlignment="1">
      <alignment horizontal="left" vertical="center" wrapText="1" readingOrder="1"/>
    </xf>
    <xf numFmtId="0" fontId="88" fillId="52" borderId="0" xfId="1884" applyFont="1" applyFill="1" applyBorder="1" applyAlignment="1">
      <alignment horizontal="left" vertical="center" wrapText="1"/>
    </xf>
    <xf numFmtId="8" fontId="88" fillId="52" borderId="0" xfId="1884" applyNumberFormat="1" applyFont="1" applyFill="1" applyBorder="1" applyAlignment="1">
      <alignment horizontal="right" vertical="center" wrapText="1" indent="1" readingOrder="1"/>
    </xf>
    <xf numFmtId="0" fontId="88" fillId="52" borderId="0" xfId="1884" applyFont="1" applyFill="1" applyBorder="1" applyAlignment="1">
      <alignment horizontal="right" vertical="center" wrapText="1" indent="1" readingOrder="1"/>
    </xf>
    <xf numFmtId="3" fontId="88" fillId="52" borderId="0" xfId="1884" applyNumberFormat="1" applyFont="1" applyFill="1" applyBorder="1" applyAlignment="1">
      <alignment horizontal="right" vertical="center" wrapText="1" indent="1" readingOrder="1"/>
    </xf>
    <xf numFmtId="0" fontId="89" fillId="52" borderId="0" xfId="1884" applyFont="1" applyFill="1" applyBorder="1" applyAlignment="1">
      <alignment horizontal="left" vertical="center" wrapText="1" readingOrder="1"/>
    </xf>
    <xf numFmtId="0" fontId="88" fillId="53" borderId="0" xfId="1884" applyFont="1" applyFill="1" applyBorder="1" applyAlignment="1">
      <alignment horizontal="left" vertical="center" wrapText="1" readingOrder="1"/>
    </xf>
    <xf numFmtId="0" fontId="88" fillId="53" borderId="0" xfId="1884" applyFont="1" applyFill="1" applyBorder="1" applyAlignment="1">
      <alignment horizontal="left" vertical="center" wrapText="1"/>
    </xf>
    <xf numFmtId="8" fontId="88" fillId="53" borderId="0" xfId="1884" applyNumberFormat="1" applyFont="1" applyFill="1" applyBorder="1" applyAlignment="1">
      <alignment horizontal="right" vertical="center" wrapText="1" indent="1" readingOrder="1"/>
    </xf>
    <xf numFmtId="0" fontId="88" fillId="53" borderId="0" xfId="1884" applyFont="1" applyFill="1" applyBorder="1" applyAlignment="1">
      <alignment horizontal="right" vertical="center" wrapText="1" indent="1" readingOrder="1"/>
    </xf>
    <xf numFmtId="3" fontId="88" fillId="53" borderId="0" xfId="1884" applyNumberFormat="1" applyFont="1" applyFill="1" applyBorder="1" applyAlignment="1">
      <alignment horizontal="right" vertical="center" wrapText="1" indent="1" readingOrder="1"/>
    </xf>
    <xf numFmtId="0" fontId="89" fillId="53" borderId="0" xfId="1884" quotePrefix="1" applyFont="1" applyFill="1" applyBorder="1" applyAlignment="1">
      <alignment horizontal="left" vertical="center" wrapText="1" readingOrder="1"/>
    </xf>
    <xf numFmtId="8" fontId="90" fillId="52" borderId="0" xfId="1884" applyNumberFormat="1" applyFont="1" applyFill="1" applyBorder="1" applyAlignment="1">
      <alignment horizontal="right" vertical="center" wrapText="1" indent="1" readingOrder="1"/>
    </xf>
    <xf numFmtId="8" fontId="90" fillId="53" borderId="0" xfId="1884" applyNumberFormat="1" applyFont="1" applyFill="1" applyBorder="1" applyAlignment="1">
      <alignment horizontal="right" vertical="center" wrapText="1" indent="1" readingOrder="1"/>
    </xf>
    <xf numFmtId="0" fontId="91" fillId="53" borderId="0" xfId="1884" quotePrefix="1" applyFont="1" applyFill="1" applyBorder="1" applyAlignment="1">
      <alignment horizontal="left" vertical="center" wrapText="1" readingOrder="1"/>
    </xf>
    <xf numFmtId="0" fontId="91" fillId="52" borderId="0" xfId="1884" applyFont="1" applyFill="1" applyBorder="1" applyAlignment="1">
      <alignment horizontal="left" vertical="center" wrapText="1" readingOrder="1"/>
    </xf>
    <xf numFmtId="0" fontId="92" fillId="54" borderId="0" xfId="1884" applyFont="1" applyFill="1" applyBorder="1" applyAlignment="1">
      <alignment horizontal="left" vertical="center" wrapText="1" readingOrder="1"/>
    </xf>
    <xf numFmtId="0" fontId="5" fillId="0" borderId="0" xfId="1884" applyBorder="1" applyAlignment="1">
      <alignment wrapText="1"/>
    </xf>
    <xf numFmtId="0" fontId="5" fillId="0" borderId="0" xfId="53" applyFont="1" applyAlignment="1">
      <alignment horizontal="center"/>
    </xf>
    <xf numFmtId="0" fontId="5" fillId="0" borderId="0" xfId="53" applyFont="1"/>
    <xf numFmtId="0" fontId="4" fillId="0" borderId="0" xfId="53" applyFont="1" applyAlignment="1">
      <alignment horizontal="center"/>
    </xf>
    <xf numFmtId="0" fontId="4" fillId="0" borderId="0" xfId="1884" applyFont="1" applyBorder="1"/>
    <xf numFmtId="0" fontId="93" fillId="0" borderId="0" xfId="0" applyFont="1"/>
    <xf numFmtId="43" fontId="94" fillId="0" borderId="0" xfId="74" applyFont="1"/>
    <xf numFmtId="0" fontId="94" fillId="0" borderId="0" xfId="0" applyFont="1"/>
    <xf numFmtId="43" fontId="94" fillId="0" borderId="47" xfId="74" applyFont="1" applyBorder="1"/>
    <xf numFmtId="0" fontId="94" fillId="0" borderId="0" xfId="0" applyFont="1" applyBorder="1"/>
    <xf numFmtId="0" fontId="87" fillId="54" borderId="0" xfId="0" applyFont="1" applyFill="1" applyAlignment="1">
      <alignment horizontal="center" vertical="center" wrapText="1"/>
    </xf>
    <xf numFmtId="43" fontId="94" fillId="54" borderId="10" xfId="74" applyFont="1" applyFill="1" applyBorder="1" applyAlignment="1">
      <alignment horizontal="center"/>
    </xf>
    <xf numFmtId="43" fontId="94" fillId="55" borderId="0" xfId="74" applyFont="1" applyFill="1" applyBorder="1" applyAlignment="1">
      <alignment horizontal="center"/>
    </xf>
    <xf numFmtId="43" fontId="87" fillId="54" borderId="0" xfId="74" quotePrefix="1" applyFont="1" applyFill="1" applyAlignment="1">
      <alignment horizontal="center" vertical="center" wrapText="1"/>
    </xf>
    <xf numFmtId="43" fontId="87" fillId="54" borderId="0" xfId="74" applyFont="1" applyFill="1" applyAlignment="1">
      <alignment horizontal="center" vertical="center" wrapText="1"/>
    </xf>
    <xf numFmtId="43" fontId="87" fillId="6" borderId="0" xfId="74" applyFont="1" applyFill="1" applyAlignment="1">
      <alignment horizontal="center" vertical="center" wrapText="1"/>
    </xf>
    <xf numFmtId="43" fontId="87" fillId="54" borderId="47" xfId="74" quotePrefix="1" applyFont="1" applyFill="1" applyBorder="1" applyAlignment="1">
      <alignment horizontal="center" vertical="center" wrapText="1"/>
    </xf>
    <xf numFmtId="0" fontId="87" fillId="54" borderId="26" xfId="0" applyFont="1" applyFill="1" applyBorder="1" applyAlignment="1">
      <alignment horizontal="center" vertical="center" wrapText="1"/>
    </xf>
    <xf numFmtId="43" fontId="95" fillId="0" borderId="0" xfId="74" applyFont="1"/>
    <xf numFmtId="44" fontId="94" fillId="0" borderId="0" xfId="833" applyFont="1"/>
    <xf numFmtId="0" fontId="94" fillId="0" borderId="47" xfId="0" applyFont="1" applyBorder="1"/>
    <xf numFmtId="0" fontId="94" fillId="0" borderId="26" xfId="0" applyFont="1" applyBorder="1"/>
    <xf numFmtId="43" fontId="94" fillId="6" borderId="0" xfId="74" applyFont="1" applyFill="1"/>
    <xf numFmtId="0" fontId="96" fillId="0" borderId="0" xfId="0" applyFont="1"/>
    <xf numFmtId="43" fontId="96" fillId="0" borderId="0" xfId="74" applyFont="1"/>
    <xf numFmtId="0" fontId="87" fillId="0" borderId="0" xfId="0" applyFont="1"/>
    <xf numFmtId="0" fontId="95" fillId="0" borderId="0" xfId="4" applyFont="1" applyFill="1" applyBorder="1" applyAlignment="1">
      <alignment horizontal="left"/>
    </xf>
    <xf numFmtId="43" fontId="94" fillId="0" borderId="47" xfId="0" applyNumberFormat="1" applyFont="1" applyBorder="1"/>
    <xf numFmtId="43" fontId="94" fillId="0" borderId="0" xfId="0" applyNumberFormat="1" applyFont="1"/>
    <xf numFmtId="0" fontId="94" fillId="0" borderId="0" xfId="0" applyFont="1" applyFill="1"/>
    <xf numFmtId="43" fontId="94" fillId="0" borderId="0" xfId="74" applyFont="1" applyFill="1"/>
    <xf numFmtId="180" fontId="0" fillId="0" borderId="40" xfId="1883" applyNumberFormat="1" applyFont="1" applyBorder="1"/>
    <xf numFmtId="43" fontId="0" fillId="0" borderId="40" xfId="1883" applyFont="1" applyBorder="1"/>
    <xf numFmtId="37" fontId="14" fillId="0" borderId="0" xfId="2" applyNumberFormat="1" applyFont="1" applyFill="1" applyBorder="1" applyProtection="1">
      <protection locked="0"/>
    </xf>
    <xf numFmtId="180" fontId="0" fillId="0" borderId="0" xfId="1883" applyNumberFormat="1" applyFont="1" applyBorder="1"/>
    <xf numFmtId="14" fontId="0" fillId="0" borderId="0" xfId="0" applyNumberFormat="1" applyBorder="1"/>
    <xf numFmtId="43" fontId="0" fillId="0" borderId="0" xfId="1883" applyFont="1" applyBorder="1"/>
    <xf numFmtId="37" fontId="14" fillId="56" borderId="41" xfId="2" applyNumberFormat="1" applyFont="1" applyFill="1" applyBorder="1" applyProtection="1">
      <protection locked="0"/>
    </xf>
    <xf numFmtId="37" fontId="19" fillId="57" borderId="41" xfId="2" applyNumberFormat="1" applyFont="1" applyFill="1" applyBorder="1" applyProtection="1"/>
    <xf numFmtId="0" fontId="1" fillId="0" borderId="0" xfId="1889"/>
    <xf numFmtId="0" fontId="1" fillId="0" borderId="0" xfId="1889" applyNumberFormat="1"/>
    <xf numFmtId="0" fontId="1" fillId="0" borderId="0" xfId="1889" quotePrefix="1" applyNumberFormat="1"/>
    <xf numFmtId="37" fontId="14" fillId="57" borderId="4" xfId="2" applyNumberFormat="1" applyFont="1" applyFill="1" applyBorder="1" applyProtection="1"/>
    <xf numFmtId="37" fontId="14" fillId="57" borderId="41" xfId="2" applyNumberFormat="1" applyFont="1" applyFill="1" applyBorder="1" applyProtection="1"/>
    <xf numFmtId="14" fontId="19" fillId="56" borderId="4" xfId="2" applyNumberFormat="1" applyFont="1" applyFill="1" applyBorder="1" applyProtection="1">
      <protection locked="0"/>
    </xf>
    <xf numFmtId="37" fontId="19" fillId="56" borderId="41" xfId="2" applyNumberFormat="1" applyFont="1" applyFill="1" applyBorder="1" applyProtection="1">
      <protection locked="0"/>
    </xf>
    <xf numFmtId="37" fontId="19" fillId="56" borderId="44" xfId="2" applyNumberFormat="1" applyFont="1" applyFill="1" applyBorder="1" applyProtection="1">
      <protection locked="0"/>
    </xf>
    <xf numFmtId="180" fontId="19" fillId="56" borderId="41" xfId="1883" applyNumberFormat="1" applyFont="1" applyFill="1" applyBorder="1" applyProtection="1">
      <protection locked="0"/>
    </xf>
    <xf numFmtId="180" fontId="19" fillId="56" borderId="4" xfId="1883" applyNumberFormat="1" applyFont="1" applyFill="1" applyBorder="1" applyProtection="1">
      <protection locked="0"/>
    </xf>
    <xf numFmtId="9" fontId="19" fillId="56" borderId="41" xfId="3" applyFont="1" applyFill="1" applyBorder="1" applyProtection="1">
      <protection locked="0"/>
    </xf>
    <xf numFmtId="180" fontId="19" fillId="56" borderId="44" xfId="74" applyNumberFormat="1" applyFont="1" applyFill="1" applyBorder="1" applyProtection="1">
      <protection locked="0"/>
    </xf>
    <xf numFmtId="9" fontId="14" fillId="2" borderId="0" xfId="2" applyNumberFormat="1" applyFont="1" applyFill="1" applyBorder="1" applyAlignment="1" applyProtection="1">
      <alignment horizontal="center"/>
      <protection locked="0"/>
    </xf>
    <xf numFmtId="0" fontId="16" fillId="2" borderId="0" xfId="2" applyFont="1" applyFill="1" applyBorder="1" applyProtection="1">
      <protection locked="0"/>
    </xf>
    <xf numFmtId="180" fontId="19" fillId="0" borderId="0" xfId="1883" applyNumberFormat="1" applyFont="1" applyFill="1" applyBorder="1" applyProtection="1">
      <protection locked="0"/>
    </xf>
    <xf numFmtId="0" fontId="13" fillId="0" borderId="0" xfId="2" applyFont="1" applyFill="1" applyBorder="1" applyProtection="1">
      <protection locked="0"/>
    </xf>
    <xf numFmtId="0" fontId="16" fillId="0" borderId="0" xfId="2" quotePrefix="1" applyFont="1" applyFill="1" applyBorder="1" applyAlignment="1" applyProtection="1">
      <alignment horizontal="left"/>
      <protection locked="0"/>
    </xf>
    <xf numFmtId="9" fontId="19" fillId="0" borderId="0" xfId="3" applyFont="1" applyFill="1" applyBorder="1" applyProtection="1">
      <protection locked="0"/>
    </xf>
    <xf numFmtId="0" fontId="16" fillId="0" borderId="0" xfId="2" applyFont="1" applyFill="1" applyBorder="1" applyProtection="1">
      <protection locked="0"/>
    </xf>
    <xf numFmtId="0" fontId="13" fillId="2" borderId="0" xfId="2" applyFont="1" applyFill="1" applyBorder="1" applyProtection="1">
      <protection locked="0"/>
    </xf>
    <xf numFmtId="0" fontId="13" fillId="2" borderId="0" xfId="2" quotePrefix="1" applyFont="1" applyFill="1" applyBorder="1" applyAlignment="1" applyProtection="1">
      <alignment horizontal="center"/>
      <protection locked="0"/>
    </xf>
    <xf numFmtId="0" fontId="19" fillId="4" borderId="0" xfId="2" applyFont="1" applyFill="1" applyBorder="1" applyAlignment="1" applyProtection="1">
      <alignment horizontal="left"/>
      <protection locked="0"/>
    </xf>
    <xf numFmtId="0" fontId="19" fillId="4" borderId="0" xfId="2" applyFont="1" applyFill="1" applyBorder="1" applyProtection="1">
      <protection locked="0"/>
    </xf>
    <xf numFmtId="0" fontId="19" fillId="2" borderId="0" xfId="2" applyFont="1" applyFill="1" applyBorder="1" applyProtection="1">
      <protection locked="0"/>
    </xf>
    <xf numFmtId="0" fontId="14" fillId="4" borderId="0" xfId="2" applyFont="1" applyFill="1" applyBorder="1" applyProtection="1">
      <protection locked="0"/>
    </xf>
    <xf numFmtId="0" fontId="14" fillId="2" borderId="0" xfId="2" applyFont="1" applyFill="1" applyBorder="1" applyProtection="1">
      <protection locked="0"/>
    </xf>
    <xf numFmtId="0" fontId="13" fillId="4" borderId="0" xfId="2" applyFont="1" applyFill="1" applyBorder="1" applyProtection="1">
      <protection locked="0"/>
    </xf>
    <xf numFmtId="0" fontId="21" fillId="2" borderId="0" xfId="2" applyFont="1" applyFill="1" applyBorder="1" applyProtection="1">
      <protection locked="0"/>
    </xf>
    <xf numFmtId="9" fontId="22" fillId="2" borderId="0" xfId="0" applyNumberFormat="1" applyFont="1" applyFill="1" applyBorder="1" applyAlignment="1" applyProtection="1">
      <protection locked="0"/>
    </xf>
    <xf numFmtId="2" fontId="13" fillId="56" borderId="0" xfId="4" applyNumberFormat="1" applyFont="1" applyFill="1" applyAlignment="1" applyProtection="1">
      <alignment horizontal="left"/>
      <protection locked="0"/>
    </xf>
    <xf numFmtId="0" fontId="21" fillId="4" borderId="0" xfId="2" applyFont="1" applyFill="1" applyBorder="1" applyProtection="1">
      <protection locked="0"/>
    </xf>
    <xf numFmtId="9" fontId="22" fillId="2" borderId="0" xfId="0" applyNumberFormat="1" applyFont="1" applyFill="1" applyBorder="1" applyAlignment="1" applyProtection="1">
      <alignment horizontal="center"/>
      <protection locked="0"/>
    </xf>
    <xf numFmtId="2" fontId="13" fillId="50" borderId="0" xfId="4" applyNumberFormat="1" applyFont="1" applyFill="1" applyAlignment="1" applyProtection="1">
      <alignment horizontal="left"/>
      <protection locked="0"/>
    </xf>
    <xf numFmtId="0" fontId="22" fillId="56" borderId="0" xfId="0" applyNumberFormat="1" applyFont="1" applyFill="1" applyBorder="1" applyAlignment="1" applyProtection="1">
      <alignment horizontal="left"/>
      <protection locked="0"/>
    </xf>
    <xf numFmtId="9" fontId="99" fillId="3" borderId="0" xfId="0" applyNumberFormat="1" applyFont="1" applyFill="1" applyBorder="1" applyAlignment="1" applyProtection="1">
      <alignment horizontal="left"/>
      <protection locked="0"/>
    </xf>
    <xf numFmtId="0" fontId="13" fillId="2" borderId="0" xfId="2" quotePrefix="1" applyFont="1" applyFill="1" applyBorder="1" applyAlignment="1" applyProtection="1">
      <alignment horizontal="right"/>
      <protection locked="0"/>
    </xf>
    <xf numFmtId="9" fontId="13" fillId="2" borderId="0" xfId="0" applyNumberFormat="1" applyFont="1" applyFill="1" applyProtection="1">
      <protection locked="0"/>
    </xf>
    <xf numFmtId="0" fontId="16" fillId="2" borderId="3" xfId="2" applyFont="1" applyFill="1" applyBorder="1" applyProtection="1">
      <protection locked="0"/>
    </xf>
    <xf numFmtId="0" fontId="19" fillId="2" borderId="3" xfId="2" applyFont="1" applyFill="1" applyBorder="1" applyAlignment="1" applyProtection="1">
      <alignment wrapText="1"/>
      <protection locked="0"/>
    </xf>
    <xf numFmtId="0" fontId="16" fillId="2" borderId="42" xfId="2" quotePrefix="1" applyFont="1" applyFill="1" applyBorder="1" applyAlignment="1" applyProtection="1">
      <alignment horizontal="left" wrapText="1"/>
      <protection locked="0"/>
    </xf>
    <xf numFmtId="0" fontId="16" fillId="2" borderId="40" xfId="2" applyFont="1" applyFill="1" applyBorder="1" applyAlignment="1" applyProtection="1">
      <alignment wrapText="1"/>
      <protection locked="0"/>
    </xf>
    <xf numFmtId="0" fontId="16" fillId="2" borderId="40" xfId="2" applyFont="1" applyFill="1" applyBorder="1" applyProtection="1">
      <protection locked="0"/>
    </xf>
    <xf numFmtId="0" fontId="19" fillId="2" borderId="40" xfId="2" applyFont="1" applyFill="1" applyBorder="1" applyAlignment="1" applyProtection="1">
      <alignment wrapText="1"/>
      <protection locked="0"/>
    </xf>
    <xf numFmtId="0" fontId="16" fillId="2" borderId="42" xfId="2" quotePrefix="1" applyFont="1" applyFill="1" applyBorder="1" applyAlignment="1" applyProtection="1">
      <alignment horizontal="left"/>
      <protection locked="0"/>
    </xf>
    <xf numFmtId="0" fontId="19" fillId="4" borderId="0" xfId="2" quotePrefix="1" applyFont="1" applyFill="1" applyBorder="1" applyAlignment="1" applyProtection="1">
      <alignment horizontal="left"/>
      <protection locked="0"/>
    </xf>
    <xf numFmtId="0" fontId="19" fillId="2" borderId="40" xfId="2" applyFont="1" applyFill="1" applyBorder="1" applyProtection="1">
      <protection locked="0"/>
    </xf>
    <xf numFmtId="0" fontId="16" fillId="2" borderId="40" xfId="2" quotePrefix="1" applyFont="1" applyFill="1" applyBorder="1" applyAlignment="1" applyProtection="1">
      <alignment horizontal="left"/>
      <protection locked="0"/>
    </xf>
    <xf numFmtId="43" fontId="13" fillId="2" borderId="0" xfId="1883" applyFont="1" applyFill="1" applyProtection="1">
      <protection locked="0"/>
    </xf>
    <xf numFmtId="37" fontId="19" fillId="2" borderId="0" xfId="2" applyNumberFormat="1" applyFont="1" applyFill="1" applyBorder="1" applyProtection="1">
      <protection locked="0"/>
    </xf>
    <xf numFmtId="9" fontId="14" fillId="4" borderId="0" xfId="2" applyNumberFormat="1" applyFont="1" applyFill="1" applyBorder="1" applyProtection="1">
      <protection locked="0"/>
    </xf>
    <xf numFmtId="38" fontId="16" fillId="4" borderId="0" xfId="2" quotePrefix="1" applyNumberFormat="1" applyFont="1" applyFill="1" applyBorder="1" applyAlignment="1" applyProtection="1">
      <alignment horizontal="right"/>
      <protection locked="0"/>
    </xf>
    <xf numFmtId="38" fontId="13" fillId="4" borderId="0" xfId="2" applyNumberFormat="1" applyFont="1" applyFill="1" applyBorder="1" applyProtection="1">
      <protection locked="0"/>
    </xf>
    <xf numFmtId="43" fontId="14" fillId="4" borderId="0" xfId="1883" applyFont="1" applyFill="1" applyBorder="1" applyProtection="1">
      <protection locked="0"/>
    </xf>
    <xf numFmtId="9" fontId="14" fillId="2" borderId="0" xfId="2" applyNumberFormat="1" applyFont="1" applyFill="1" applyBorder="1" applyProtection="1">
      <protection locked="0"/>
    </xf>
    <xf numFmtId="9" fontId="14" fillId="2" borderId="0" xfId="0" applyNumberFormat="1" applyFont="1" applyFill="1" applyBorder="1" applyAlignment="1" applyProtection="1">
      <alignment horizontal="center"/>
    </xf>
    <xf numFmtId="37" fontId="14" fillId="2" borderId="0" xfId="2" applyNumberFormat="1" applyFont="1" applyFill="1" applyBorder="1" applyProtection="1"/>
    <xf numFmtId="37" fontId="13" fillId="2" borderId="0" xfId="2" applyNumberFormat="1" applyFont="1" applyFill="1" applyBorder="1" applyProtection="1"/>
    <xf numFmtId="180" fontId="14" fillId="2" borderId="0" xfId="1883" applyNumberFormat="1" applyFont="1" applyFill="1" applyBorder="1" applyAlignment="1" applyProtection="1">
      <alignment horizontal="right"/>
    </xf>
    <xf numFmtId="0" fontId="19" fillId="3" borderId="0" xfId="2" applyFont="1" applyFill="1" applyBorder="1" applyProtection="1"/>
    <xf numFmtId="0" fontId="14" fillId="3" borderId="0" xfId="2" applyFont="1" applyFill="1" applyBorder="1" applyProtection="1"/>
    <xf numFmtId="0" fontId="25" fillId="4" borderId="0" xfId="2" applyFont="1" applyFill="1" applyBorder="1" applyProtection="1"/>
    <xf numFmtId="0" fontId="14" fillId="4" borderId="0" xfId="2" applyFont="1" applyFill="1" applyBorder="1" applyProtection="1"/>
    <xf numFmtId="38" fontId="14" fillId="2" borderId="0" xfId="2" applyNumberFormat="1" applyFont="1" applyFill="1" applyBorder="1" applyAlignment="1" applyProtection="1">
      <alignment horizontal="left"/>
    </xf>
    <xf numFmtId="37" fontId="14" fillId="2" borderId="45" xfId="2" applyNumberFormat="1" applyFont="1" applyFill="1" applyBorder="1" applyProtection="1"/>
    <xf numFmtId="9" fontId="14" fillId="2" borderId="0" xfId="2" applyNumberFormat="1" applyFont="1" applyFill="1" applyBorder="1" applyAlignment="1" applyProtection="1">
      <alignment horizontal="center"/>
    </xf>
    <xf numFmtId="6" fontId="13" fillId="2" borderId="0" xfId="2" applyNumberFormat="1" applyFont="1" applyFill="1" applyBorder="1" applyAlignment="1" applyProtection="1">
      <alignment horizontal="right"/>
    </xf>
    <xf numFmtId="3" fontId="19" fillId="2" borderId="0" xfId="2" applyNumberFormat="1" applyFont="1" applyFill="1" applyBorder="1" applyProtection="1"/>
    <xf numFmtId="0" fontId="14" fillId="2" borderId="0" xfId="2" applyFont="1" applyFill="1" applyBorder="1" applyProtection="1"/>
    <xf numFmtId="38" fontId="16" fillId="2" borderId="0" xfId="1" applyNumberFormat="1" applyFont="1" applyFill="1" applyBorder="1" applyAlignment="1" applyProtection="1">
      <alignment horizontal="left"/>
    </xf>
    <xf numFmtId="37" fontId="14" fillId="3" borderId="0" xfId="2" applyNumberFormat="1" applyFont="1" applyFill="1" applyBorder="1" applyProtection="1"/>
    <xf numFmtId="0" fontId="25" fillId="4" borderId="0" xfId="2" applyFont="1" applyFill="1" applyBorder="1" applyAlignment="1" applyProtection="1">
      <alignment horizontal="center"/>
    </xf>
    <xf numFmtId="38" fontId="14" fillId="2" borderId="0" xfId="1" applyNumberFormat="1" applyFont="1" applyFill="1" applyBorder="1" applyAlignment="1" applyProtection="1">
      <alignment horizontal="left"/>
    </xf>
    <xf numFmtId="38" fontId="14" fillId="2" borderId="0" xfId="2" applyNumberFormat="1" applyFont="1" applyFill="1" applyBorder="1" applyProtection="1"/>
    <xf numFmtId="41" fontId="13" fillId="2" borderId="0" xfId="2" applyNumberFormat="1" applyFont="1" applyFill="1" applyBorder="1" applyProtection="1"/>
    <xf numFmtId="9" fontId="17" fillId="5" borderId="0" xfId="2" quotePrefix="1" applyNumberFormat="1" applyFont="1" applyFill="1" applyBorder="1" applyAlignment="1" applyProtection="1">
      <alignment horizontal="center"/>
    </xf>
    <xf numFmtId="38" fontId="17" fillId="5" borderId="0" xfId="2" applyNumberFormat="1" applyFont="1" applyFill="1" applyBorder="1" applyAlignment="1" applyProtection="1">
      <alignment horizontal="left"/>
    </xf>
    <xf numFmtId="37" fontId="13" fillId="5" borderId="1" xfId="2" applyNumberFormat="1" applyFont="1" applyFill="1" applyBorder="1" applyProtection="1"/>
    <xf numFmtId="37" fontId="20" fillId="5" borderId="0" xfId="2" applyNumberFormat="1" applyFont="1" applyFill="1" applyBorder="1" applyProtection="1"/>
    <xf numFmtId="37" fontId="13" fillId="5" borderId="0" xfId="2" applyNumberFormat="1" applyFont="1" applyFill="1" applyBorder="1" applyProtection="1"/>
    <xf numFmtId="3" fontId="14" fillId="5" borderId="0" xfId="2" applyNumberFormat="1" applyFont="1" applyFill="1" applyBorder="1" applyProtection="1"/>
    <xf numFmtId="0" fontId="14" fillId="2" borderId="2" xfId="2" applyFont="1" applyFill="1" applyBorder="1" applyProtection="1"/>
    <xf numFmtId="0" fontId="13" fillId="2" borderId="2" xfId="2" quotePrefix="1" applyFont="1" applyFill="1" applyBorder="1" applyAlignment="1" applyProtection="1">
      <alignment horizontal="center"/>
    </xf>
    <xf numFmtId="0" fontId="13" fillId="2" borderId="2" xfId="2" applyFont="1" applyFill="1" applyBorder="1" applyProtection="1"/>
    <xf numFmtId="0" fontId="13" fillId="2" borderId="8" xfId="2" applyFont="1" applyFill="1" applyBorder="1" applyProtection="1"/>
    <xf numFmtId="0" fontId="13" fillId="4" borderId="0" xfId="2" applyFont="1" applyFill="1" applyBorder="1" applyProtection="1"/>
    <xf numFmtId="0" fontId="13" fillId="2" borderId="0" xfId="2" applyFont="1" applyFill="1" applyBorder="1" applyProtection="1"/>
    <xf numFmtId="38" fontId="25" fillId="2" borderId="0" xfId="2" applyNumberFormat="1" applyFont="1" applyFill="1" applyBorder="1" applyProtection="1"/>
    <xf numFmtId="38" fontId="13" fillId="2" borderId="0" xfId="2" applyNumberFormat="1" applyFont="1" applyFill="1" applyBorder="1" applyAlignment="1" applyProtection="1">
      <alignment horizontal="center"/>
    </xf>
    <xf numFmtId="38" fontId="13" fillId="2" borderId="0" xfId="2" applyNumberFormat="1" applyFont="1" applyFill="1" applyBorder="1" applyProtection="1"/>
    <xf numFmtId="3" fontId="19" fillId="3" borderId="0" xfId="2" applyNumberFormat="1" applyFont="1" applyFill="1" applyBorder="1" applyProtection="1"/>
    <xf numFmtId="38" fontId="14" fillId="4" borderId="0" xfId="2" applyNumberFormat="1" applyFont="1" applyFill="1" applyBorder="1" applyProtection="1"/>
    <xf numFmtId="0" fontId="16" fillId="2" borderId="0" xfId="2" applyFont="1" applyFill="1" applyBorder="1" applyProtection="1"/>
    <xf numFmtId="9" fontId="22" fillId="2" borderId="0" xfId="0" applyNumberFormat="1" applyFont="1" applyFill="1" applyBorder="1" applyAlignment="1" applyProtection="1">
      <alignment horizontal="left"/>
      <protection locked="0"/>
    </xf>
    <xf numFmtId="0" fontId="25" fillId="3" borderId="0" xfId="2" applyFont="1" applyFill="1" applyBorder="1" applyAlignment="1" applyProtection="1">
      <alignment horizontal="right" vertical="top"/>
      <protection locked="0"/>
    </xf>
    <xf numFmtId="0" fontId="13" fillId="3" borderId="0" xfId="2" applyFont="1" applyFill="1" applyBorder="1" applyProtection="1">
      <protection locked="0"/>
    </xf>
    <xf numFmtId="0" fontId="14" fillId="3" borderId="0" xfId="2" applyFont="1" applyFill="1" applyBorder="1" applyProtection="1">
      <protection locked="0"/>
    </xf>
    <xf numFmtId="37" fontId="14" fillId="3" borderId="0" xfId="2" applyNumberFormat="1" applyFont="1" applyFill="1" applyBorder="1" applyProtection="1">
      <protection locked="0"/>
    </xf>
    <xf numFmtId="0" fontId="14" fillId="4" borderId="0" xfId="2" applyFont="1" applyFill="1" applyBorder="1" applyAlignment="1" applyProtection="1">
      <alignment vertical="top"/>
      <protection locked="0"/>
    </xf>
    <xf numFmtId="9" fontId="14" fillId="3" borderId="8" xfId="2" applyNumberFormat="1" applyFont="1" applyFill="1" applyBorder="1" applyAlignment="1" applyProtection="1">
      <alignment horizontal="center" vertical="top"/>
      <protection locked="0"/>
    </xf>
    <xf numFmtId="0" fontId="25" fillId="4" borderId="8" xfId="2" applyFont="1" applyFill="1" applyBorder="1" applyAlignment="1" applyProtection="1">
      <alignment vertical="top"/>
      <protection locked="0"/>
    </xf>
    <xf numFmtId="0" fontId="14" fillId="4" borderId="8" xfId="2" applyFont="1" applyFill="1" applyBorder="1" applyProtection="1">
      <protection locked="0"/>
    </xf>
    <xf numFmtId="9" fontId="14" fillId="3" borderId="0" xfId="2" applyNumberFormat="1" applyFont="1" applyFill="1" applyBorder="1" applyProtection="1">
      <protection locked="0"/>
    </xf>
    <xf numFmtId="9" fontId="14" fillId="4" borderId="0" xfId="2" applyNumberFormat="1" applyFont="1" applyFill="1" applyBorder="1" applyAlignment="1" applyProtection="1">
      <alignment horizontal="center"/>
      <protection locked="0"/>
    </xf>
    <xf numFmtId="0" fontId="13" fillId="4" borderId="0" xfId="2" quotePrefix="1" applyFont="1" applyFill="1" applyBorder="1" applyAlignment="1" applyProtection="1">
      <alignment horizontal="center" vertical="top"/>
      <protection locked="0"/>
    </xf>
    <xf numFmtId="0" fontId="13" fillId="4" borderId="0" xfId="2" applyFont="1" applyFill="1" applyBorder="1" applyAlignment="1" applyProtection="1">
      <alignment vertical="top"/>
      <protection locked="0"/>
    </xf>
    <xf numFmtId="38" fontId="16" fillId="2" borderId="0" xfId="2" quotePrefix="1" applyNumberFormat="1" applyFont="1" applyFill="1" applyBorder="1" applyAlignment="1" applyProtection="1">
      <alignment horizontal="right"/>
    </xf>
    <xf numFmtId="0" fontId="19" fillId="4" borderId="0" xfId="2" applyFont="1" applyFill="1" applyBorder="1" applyAlignment="1" applyProtection="1">
      <alignment horizontal="left"/>
    </xf>
    <xf numFmtId="0" fontId="19" fillId="4" borderId="0" xfId="2" applyFont="1" applyFill="1" applyBorder="1" applyProtection="1"/>
    <xf numFmtId="0" fontId="19" fillId="2" borderId="0" xfId="2" applyFont="1" applyFill="1" applyBorder="1" applyProtection="1"/>
    <xf numFmtId="38" fontId="16" fillId="6" borderId="0" xfId="2" quotePrefix="1" applyNumberFormat="1" applyFont="1" applyFill="1" applyBorder="1" applyAlignment="1" applyProtection="1">
      <alignment horizontal="left"/>
    </xf>
    <xf numFmtId="9" fontId="13" fillId="6" borderId="0" xfId="3" applyFont="1" applyFill="1" applyBorder="1" applyAlignment="1" applyProtection="1">
      <alignment horizontal="center"/>
    </xf>
    <xf numFmtId="9" fontId="13" fillId="6" borderId="0" xfId="3" applyFont="1" applyFill="1" applyBorder="1" applyProtection="1"/>
    <xf numFmtId="0" fontId="25" fillId="3" borderId="8" xfId="2" applyFont="1" applyFill="1" applyBorder="1" applyAlignment="1" applyProtection="1">
      <alignment horizontal="left" vertical="top" wrapText="1"/>
      <protection locked="0"/>
    </xf>
    <xf numFmtId="9" fontId="22" fillId="2" borderId="0" xfId="0" applyNumberFormat="1" applyFont="1" applyFill="1" applyBorder="1" applyAlignment="1" applyProtection="1">
      <alignment horizontal="left"/>
      <protection locked="0"/>
    </xf>
    <xf numFmtId="0" fontId="23" fillId="0" borderId="0" xfId="2" applyFont="1" applyFill="1" applyBorder="1" applyAlignment="1" applyProtection="1">
      <alignment horizontal="center"/>
      <protection locked="0"/>
    </xf>
    <xf numFmtId="0" fontId="14" fillId="3" borderId="0" xfId="2" applyFont="1" applyFill="1" applyBorder="1" applyAlignment="1" applyProtection="1">
      <alignment horizontal="left" vertical="top" wrapText="1"/>
      <protection locked="0"/>
    </xf>
    <xf numFmtId="43" fontId="94" fillId="54" borderId="9" xfId="74" applyFont="1" applyFill="1" applyBorder="1" applyAlignment="1">
      <alignment horizontal="center"/>
    </xf>
    <xf numFmtId="43" fontId="94" fillId="54" borderId="10" xfId="74" applyFont="1" applyFill="1" applyBorder="1" applyAlignment="1">
      <alignment horizontal="center"/>
    </xf>
    <xf numFmtId="43" fontId="94" fillId="55" borderId="48" xfId="74" applyFont="1" applyFill="1" applyBorder="1" applyAlignment="1">
      <alignment horizontal="center"/>
    </xf>
    <xf numFmtId="43" fontId="94" fillId="55" borderId="10" xfId="74" applyFont="1" applyFill="1" applyBorder="1" applyAlignment="1">
      <alignment horizontal="center"/>
    </xf>
    <xf numFmtId="43" fontId="94" fillId="55" borderId="11" xfId="74" applyFont="1" applyFill="1" applyBorder="1" applyAlignment="1">
      <alignment horizontal="center"/>
    </xf>
    <xf numFmtId="0" fontId="13" fillId="0" borderId="3" xfId="0" quotePrefix="1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4" fillId="0" borderId="9" xfId="0" quotePrefix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3" fillId="0" borderId="0" xfId="0" applyFont="1" applyBorder="1" applyAlignment="1">
      <alignment horizontal="center"/>
    </xf>
  </cellXfs>
  <cellStyles count="1891">
    <cellStyle name="0" xfId="622"/>
    <cellStyle name="0_Cash Flow - UNCH Revised" xfId="680"/>
    <cellStyle name="0_Copy of Gross Revenue by Payor Group Graph August 2008" xfId="681"/>
    <cellStyle name="0_Copy of Gross Revenue by Payor Group Graph August 2008_Presentation Data 1108" xfId="682"/>
    <cellStyle name="0_Copy of Gross Revenue by Payor Group Graph September 2008" xfId="683"/>
    <cellStyle name="0_Copy of Gross Revenue by Payor Group Graph September 2008_Presentation Data 1108" xfId="684"/>
    <cellStyle name="0_FIN0109" xfId="685"/>
    <cellStyle name="0_Gross and Net Revenue by Payor Group Graphs FY08" xfId="686"/>
    <cellStyle name="0_Gross and Net Revenue by Payor Group Graphs FY08_Presentation Data 1108" xfId="687"/>
    <cellStyle name="0_Gross and Net Revenue by Payor Group Graphs May08 ver2" xfId="688"/>
    <cellStyle name="0_Gross and Net Revenue by Payor Group Graphs May08 ver2_Presentation Data 1108" xfId="689"/>
    <cellStyle name="0_UNCH Gross and Net Revenue by Payor Group May 2008" xfId="690"/>
    <cellStyle name="0_UNCH Gross and Net Revenue by Payor Group May 2008_Presentation Data 1108" xfId="691"/>
    <cellStyle name="20% - Accent1 2" xfId="692"/>
    <cellStyle name="20% - Accent1 2 2" xfId="693"/>
    <cellStyle name="20% - Accent1 2 3" xfId="694"/>
    <cellStyle name="20% - Accent1 3 2" xfId="695"/>
    <cellStyle name="20% - Accent1 3 3" xfId="696"/>
    <cellStyle name="20% - Accent2 2" xfId="697"/>
    <cellStyle name="20% - Accent2 2 2" xfId="698"/>
    <cellStyle name="20% - Accent2 2 3" xfId="699"/>
    <cellStyle name="20% - Accent2 3 2" xfId="700"/>
    <cellStyle name="20% - Accent2 3 3" xfId="701"/>
    <cellStyle name="20% - Accent3 2" xfId="702"/>
    <cellStyle name="20% - Accent3 2 2" xfId="703"/>
    <cellStyle name="20% - Accent3 2 3" xfId="704"/>
    <cellStyle name="20% - Accent3 3 2" xfId="705"/>
    <cellStyle name="20% - Accent3 3 3" xfId="706"/>
    <cellStyle name="20% - Accent4 2" xfId="707"/>
    <cellStyle name="20% - Accent4 2 2" xfId="708"/>
    <cellStyle name="20% - Accent4 2 3" xfId="709"/>
    <cellStyle name="20% - Accent4 3 2" xfId="710"/>
    <cellStyle name="20% - Accent4 3 3" xfId="711"/>
    <cellStyle name="20% - Accent5 2" xfId="712"/>
    <cellStyle name="20% - Accent5 2 2" xfId="713"/>
    <cellStyle name="20% - Accent5 2 3" xfId="714"/>
    <cellStyle name="20% - Accent5 3 2" xfId="715"/>
    <cellStyle name="20% - Accent5 3 3" xfId="716"/>
    <cellStyle name="20% - Accent6 2 2" xfId="717"/>
    <cellStyle name="20% - Accent6 2 3" xfId="718"/>
    <cellStyle name="20% - Accent6 3 2" xfId="719"/>
    <cellStyle name="20% - Accent6 3 3" xfId="720"/>
    <cellStyle name="40% - Accent1 2 2" xfId="721"/>
    <cellStyle name="40% - Accent1 2 3" xfId="722"/>
    <cellStyle name="40% - Accent1 3 2" xfId="723"/>
    <cellStyle name="40% - Accent1 3 3" xfId="724"/>
    <cellStyle name="40% - Accent2 2 2" xfId="725"/>
    <cellStyle name="40% - Accent2 2 3" xfId="726"/>
    <cellStyle name="40% - Accent2 3 2" xfId="727"/>
    <cellStyle name="40% - Accent2 3 3" xfId="728"/>
    <cellStyle name="40% - Accent3 2" xfId="729"/>
    <cellStyle name="40% - Accent3 2 2" xfId="730"/>
    <cellStyle name="40% - Accent3 2 3" xfId="731"/>
    <cellStyle name="40% - Accent3 3 2" xfId="732"/>
    <cellStyle name="40% - Accent3 3 3" xfId="733"/>
    <cellStyle name="40% - Accent4 2" xfId="734"/>
    <cellStyle name="40% - Accent4 2 2" xfId="735"/>
    <cellStyle name="40% - Accent4 2 3" xfId="736"/>
    <cellStyle name="40% - Accent4 3 2" xfId="737"/>
    <cellStyle name="40% - Accent4 3 3" xfId="738"/>
    <cellStyle name="40% - Accent5 2 2" xfId="739"/>
    <cellStyle name="40% - Accent5 2 3" xfId="740"/>
    <cellStyle name="40% - Accent5 3 2" xfId="741"/>
    <cellStyle name="40% - Accent5 3 3" xfId="742"/>
    <cellStyle name="40% - Accent6 2" xfId="743"/>
    <cellStyle name="40% - Accent6 2 2" xfId="744"/>
    <cellStyle name="40% - Accent6 2 3" xfId="745"/>
    <cellStyle name="40% - Accent6 3 2" xfId="746"/>
    <cellStyle name="40% - Accent6 3 3" xfId="747"/>
    <cellStyle name="60% - Accent1 2" xfId="748"/>
    <cellStyle name="60% - Accent1 2 2" xfId="749"/>
    <cellStyle name="60% - Accent1 2 3" xfId="750"/>
    <cellStyle name="60% - Accent1 3 2" xfId="751"/>
    <cellStyle name="60% - Accent1 3 3" xfId="752"/>
    <cellStyle name="60% - Accent2 2 2" xfId="753"/>
    <cellStyle name="60% - Accent2 2 3" xfId="754"/>
    <cellStyle name="60% - Accent2 3 2" xfId="755"/>
    <cellStyle name="60% - Accent2 3 3" xfId="756"/>
    <cellStyle name="60% - Accent3 2" xfId="757"/>
    <cellStyle name="60% - Accent3 2 2" xfId="758"/>
    <cellStyle name="60% - Accent3 2 3" xfId="759"/>
    <cellStyle name="60% - Accent3 3 2" xfId="760"/>
    <cellStyle name="60% - Accent3 3 3" xfId="761"/>
    <cellStyle name="60% - Accent4 2" xfId="762"/>
    <cellStyle name="60% - Accent4 2 2" xfId="763"/>
    <cellStyle name="60% - Accent4 2 3" xfId="764"/>
    <cellStyle name="60% - Accent4 3 2" xfId="765"/>
    <cellStyle name="60% - Accent4 3 3" xfId="766"/>
    <cellStyle name="60% - Accent5 2" xfId="767"/>
    <cellStyle name="60% - Accent5 2 2" xfId="768"/>
    <cellStyle name="60% - Accent5 2 3" xfId="769"/>
    <cellStyle name="60% - Accent5 3 2" xfId="770"/>
    <cellStyle name="60% - Accent5 3 3" xfId="771"/>
    <cellStyle name="60% - Accent6 2" xfId="772"/>
    <cellStyle name="60% - Accent6 2 2" xfId="773"/>
    <cellStyle name="60% - Accent6 2 3" xfId="774"/>
    <cellStyle name="60% - Accent6 3 2" xfId="775"/>
    <cellStyle name="60% - Accent6 3 3" xfId="776"/>
    <cellStyle name="Accent1 2" xfId="777"/>
    <cellStyle name="Accent1 2 2" xfId="778"/>
    <cellStyle name="Accent1 2 3" xfId="779"/>
    <cellStyle name="Accent1 3 2" xfId="780"/>
    <cellStyle name="Accent1 3 3" xfId="781"/>
    <cellStyle name="Accent2 2 2" xfId="782"/>
    <cellStyle name="Accent2 2 3" xfId="783"/>
    <cellStyle name="Accent2 3 2" xfId="784"/>
    <cellStyle name="Accent2 3 3" xfId="785"/>
    <cellStyle name="Accent3 2 2" xfId="786"/>
    <cellStyle name="Accent3 2 3" xfId="787"/>
    <cellStyle name="Accent3 3 2" xfId="788"/>
    <cellStyle name="Accent3 3 3" xfId="789"/>
    <cellStyle name="Accent4 2" xfId="790"/>
    <cellStyle name="Accent4 2 2" xfId="791"/>
    <cellStyle name="Accent4 2 3" xfId="792"/>
    <cellStyle name="Accent4 3 2" xfId="793"/>
    <cellStyle name="Accent4 3 3" xfId="794"/>
    <cellStyle name="Accent5 2 2" xfId="795"/>
    <cellStyle name="Accent5 2 3" xfId="796"/>
    <cellStyle name="Accent5 3 2" xfId="797"/>
    <cellStyle name="Accent5 3 3" xfId="798"/>
    <cellStyle name="Accent6 2 2" xfId="799"/>
    <cellStyle name="Accent6 2 3" xfId="800"/>
    <cellStyle name="Accent6 3 2" xfId="801"/>
    <cellStyle name="Accent6 3 3" xfId="802"/>
    <cellStyle name="Accounting" xfId="67"/>
    <cellStyle name="Accounting 2" xfId="68"/>
    <cellStyle name="Accounting 3" xfId="69"/>
    <cellStyle name="Assumption" xfId="70"/>
    <cellStyle name="Bad 2 2" xfId="803"/>
    <cellStyle name="Bad 2 3" xfId="804"/>
    <cellStyle name="Bad 3 2" xfId="805"/>
    <cellStyle name="Bad 3 3" xfId="806"/>
    <cellStyle name="Border" xfId="623"/>
    <cellStyle name="Border 2" xfId="1020"/>
    <cellStyle name="Border 2 2" xfId="1042"/>
    <cellStyle name="Border 2 2 2" xfId="1128"/>
    <cellStyle name="Border 2 2 3" xfId="1171"/>
    <cellStyle name="Border 2 2 4" xfId="1216"/>
    <cellStyle name="Border 2 2 5" xfId="1280"/>
    <cellStyle name="Border 2 2 6" xfId="1344"/>
    <cellStyle name="Border 2 2 7" xfId="1408"/>
    <cellStyle name="Border 2 3" xfId="1063"/>
    <cellStyle name="Border 2 3 2" xfId="1149"/>
    <cellStyle name="Border 2 3 3" xfId="1192"/>
    <cellStyle name="Border 2 3 4" xfId="1237"/>
    <cellStyle name="Border 2 3 5" xfId="1301"/>
    <cellStyle name="Border 2 3 6" xfId="1365"/>
    <cellStyle name="Border 2 3 7" xfId="1429"/>
    <cellStyle name="Border 2 4" xfId="1106"/>
    <cellStyle name="Border 2 5" xfId="1085"/>
    <cellStyle name="Border 2 6" xfId="1258"/>
    <cellStyle name="Border 2 7" xfId="1322"/>
    <cellStyle name="Border 2 8" xfId="1386"/>
    <cellStyle name="Budget" xfId="71"/>
    <cellStyle name="Budget 2" xfId="72"/>
    <cellStyle name="Budget 3" xfId="73"/>
    <cellStyle name="Calculation 2" xfId="807"/>
    <cellStyle name="Calculation 2 2" xfId="808"/>
    <cellStyle name="Calculation 2 2 2" xfId="1021"/>
    <cellStyle name="Calculation 2 2 2 2" xfId="1043"/>
    <cellStyle name="Calculation 2 2 2 2 2" xfId="1129"/>
    <cellStyle name="Calculation 2 2 2 2 2 2" xfId="1575"/>
    <cellStyle name="Calculation 2 2 2 2 3" xfId="1172"/>
    <cellStyle name="Calculation 2 2 2 2 3 2" xfId="1616"/>
    <cellStyle name="Calculation 2 2 2 2 4" xfId="1217"/>
    <cellStyle name="Calculation 2 2 2 2 4 2" xfId="1659"/>
    <cellStyle name="Calculation 2 2 2 2 5" xfId="1281"/>
    <cellStyle name="Calculation 2 2 2 2 5 2" xfId="1720"/>
    <cellStyle name="Calculation 2 2 2 2 6" xfId="1345"/>
    <cellStyle name="Calculation 2 2 2 2 6 2" xfId="1781"/>
    <cellStyle name="Calculation 2 2 2 2 7" xfId="1409"/>
    <cellStyle name="Calculation 2 2 2 2 7 2" xfId="1842"/>
    <cellStyle name="Calculation 2 2 2 2 8" xfId="1493"/>
    <cellStyle name="Calculation 2 2 2 3" xfId="1064"/>
    <cellStyle name="Calculation 2 2 2 3 2" xfId="1150"/>
    <cellStyle name="Calculation 2 2 2 3 2 2" xfId="1595"/>
    <cellStyle name="Calculation 2 2 2 3 3" xfId="1193"/>
    <cellStyle name="Calculation 2 2 2 3 3 2" xfId="1636"/>
    <cellStyle name="Calculation 2 2 2 3 4" xfId="1238"/>
    <cellStyle name="Calculation 2 2 2 3 4 2" xfId="1679"/>
    <cellStyle name="Calculation 2 2 2 3 5" xfId="1302"/>
    <cellStyle name="Calculation 2 2 2 3 5 2" xfId="1740"/>
    <cellStyle name="Calculation 2 2 2 3 6" xfId="1366"/>
    <cellStyle name="Calculation 2 2 2 3 6 2" xfId="1801"/>
    <cellStyle name="Calculation 2 2 2 3 7" xfId="1430"/>
    <cellStyle name="Calculation 2 2 2 3 7 2" xfId="1862"/>
    <cellStyle name="Calculation 2 2 2 3 8" xfId="1513"/>
    <cellStyle name="Calculation 2 2 2 4" xfId="1107"/>
    <cellStyle name="Calculation 2 2 2 4 2" xfId="1554"/>
    <cellStyle name="Calculation 2 2 2 5" xfId="1086"/>
    <cellStyle name="Calculation 2 2 2 5 2" xfId="1534"/>
    <cellStyle name="Calculation 2 2 2 6" xfId="1259"/>
    <cellStyle name="Calculation 2 2 2 6 2" xfId="1699"/>
    <cellStyle name="Calculation 2 2 2 7" xfId="1323"/>
    <cellStyle name="Calculation 2 2 2 7 2" xfId="1760"/>
    <cellStyle name="Calculation 2 2 2 8" xfId="1387"/>
    <cellStyle name="Calculation 2 2 2 8 2" xfId="1821"/>
    <cellStyle name="Calculation 2 2 2 9" xfId="1472"/>
    <cellStyle name="Calculation 2 2 3" xfId="1452"/>
    <cellStyle name="Calculation 2 3" xfId="809"/>
    <cellStyle name="Calculation 2 3 2" xfId="1022"/>
    <cellStyle name="Calculation 2 3 2 2" xfId="1044"/>
    <cellStyle name="Calculation 2 3 2 2 2" xfId="1130"/>
    <cellStyle name="Calculation 2 3 2 2 2 2" xfId="1576"/>
    <cellStyle name="Calculation 2 3 2 2 3" xfId="1173"/>
    <cellStyle name="Calculation 2 3 2 2 3 2" xfId="1617"/>
    <cellStyle name="Calculation 2 3 2 2 4" xfId="1218"/>
    <cellStyle name="Calculation 2 3 2 2 4 2" xfId="1660"/>
    <cellStyle name="Calculation 2 3 2 2 5" xfId="1282"/>
    <cellStyle name="Calculation 2 3 2 2 5 2" xfId="1721"/>
    <cellStyle name="Calculation 2 3 2 2 6" xfId="1346"/>
    <cellStyle name="Calculation 2 3 2 2 6 2" xfId="1782"/>
    <cellStyle name="Calculation 2 3 2 2 7" xfId="1410"/>
    <cellStyle name="Calculation 2 3 2 2 7 2" xfId="1843"/>
    <cellStyle name="Calculation 2 3 2 2 8" xfId="1494"/>
    <cellStyle name="Calculation 2 3 2 3" xfId="1065"/>
    <cellStyle name="Calculation 2 3 2 3 2" xfId="1151"/>
    <cellStyle name="Calculation 2 3 2 3 2 2" xfId="1596"/>
    <cellStyle name="Calculation 2 3 2 3 3" xfId="1194"/>
    <cellStyle name="Calculation 2 3 2 3 3 2" xfId="1637"/>
    <cellStyle name="Calculation 2 3 2 3 4" xfId="1239"/>
    <cellStyle name="Calculation 2 3 2 3 4 2" xfId="1680"/>
    <cellStyle name="Calculation 2 3 2 3 5" xfId="1303"/>
    <cellStyle name="Calculation 2 3 2 3 5 2" xfId="1741"/>
    <cellStyle name="Calculation 2 3 2 3 6" xfId="1367"/>
    <cellStyle name="Calculation 2 3 2 3 6 2" xfId="1802"/>
    <cellStyle name="Calculation 2 3 2 3 7" xfId="1431"/>
    <cellStyle name="Calculation 2 3 2 3 7 2" xfId="1863"/>
    <cellStyle name="Calculation 2 3 2 3 8" xfId="1514"/>
    <cellStyle name="Calculation 2 3 2 4" xfId="1108"/>
    <cellStyle name="Calculation 2 3 2 4 2" xfId="1555"/>
    <cellStyle name="Calculation 2 3 2 5" xfId="1096"/>
    <cellStyle name="Calculation 2 3 2 5 2" xfId="1544"/>
    <cellStyle name="Calculation 2 3 2 6" xfId="1260"/>
    <cellStyle name="Calculation 2 3 2 6 2" xfId="1700"/>
    <cellStyle name="Calculation 2 3 2 7" xfId="1324"/>
    <cellStyle name="Calculation 2 3 2 7 2" xfId="1761"/>
    <cellStyle name="Calculation 2 3 2 8" xfId="1388"/>
    <cellStyle name="Calculation 2 3 2 8 2" xfId="1822"/>
    <cellStyle name="Calculation 2 3 2 9" xfId="1473"/>
    <cellStyle name="Calculation 2 3 3" xfId="1453"/>
    <cellStyle name="Calculation 3 2" xfId="810"/>
    <cellStyle name="Calculation 3 2 2" xfId="1023"/>
    <cellStyle name="Calculation 3 2 2 2" xfId="1045"/>
    <cellStyle name="Calculation 3 2 2 2 2" xfId="1131"/>
    <cellStyle name="Calculation 3 2 2 2 2 2" xfId="1577"/>
    <cellStyle name="Calculation 3 2 2 2 3" xfId="1174"/>
    <cellStyle name="Calculation 3 2 2 2 3 2" xfId="1618"/>
    <cellStyle name="Calculation 3 2 2 2 4" xfId="1219"/>
    <cellStyle name="Calculation 3 2 2 2 4 2" xfId="1661"/>
    <cellStyle name="Calculation 3 2 2 2 5" xfId="1283"/>
    <cellStyle name="Calculation 3 2 2 2 5 2" xfId="1722"/>
    <cellStyle name="Calculation 3 2 2 2 6" xfId="1347"/>
    <cellStyle name="Calculation 3 2 2 2 6 2" xfId="1783"/>
    <cellStyle name="Calculation 3 2 2 2 7" xfId="1411"/>
    <cellStyle name="Calculation 3 2 2 2 7 2" xfId="1844"/>
    <cellStyle name="Calculation 3 2 2 2 8" xfId="1495"/>
    <cellStyle name="Calculation 3 2 2 3" xfId="1066"/>
    <cellStyle name="Calculation 3 2 2 3 2" xfId="1152"/>
    <cellStyle name="Calculation 3 2 2 3 2 2" xfId="1597"/>
    <cellStyle name="Calculation 3 2 2 3 3" xfId="1195"/>
    <cellStyle name="Calculation 3 2 2 3 3 2" xfId="1638"/>
    <cellStyle name="Calculation 3 2 2 3 4" xfId="1240"/>
    <cellStyle name="Calculation 3 2 2 3 4 2" xfId="1681"/>
    <cellStyle name="Calculation 3 2 2 3 5" xfId="1304"/>
    <cellStyle name="Calculation 3 2 2 3 5 2" xfId="1742"/>
    <cellStyle name="Calculation 3 2 2 3 6" xfId="1368"/>
    <cellStyle name="Calculation 3 2 2 3 6 2" xfId="1803"/>
    <cellStyle name="Calculation 3 2 2 3 7" xfId="1432"/>
    <cellStyle name="Calculation 3 2 2 3 7 2" xfId="1864"/>
    <cellStyle name="Calculation 3 2 2 3 8" xfId="1515"/>
    <cellStyle name="Calculation 3 2 2 4" xfId="1109"/>
    <cellStyle name="Calculation 3 2 2 4 2" xfId="1556"/>
    <cellStyle name="Calculation 3 2 2 5" xfId="1098"/>
    <cellStyle name="Calculation 3 2 2 5 2" xfId="1546"/>
    <cellStyle name="Calculation 3 2 2 6" xfId="1261"/>
    <cellStyle name="Calculation 3 2 2 6 2" xfId="1701"/>
    <cellStyle name="Calculation 3 2 2 7" xfId="1325"/>
    <cellStyle name="Calculation 3 2 2 7 2" xfId="1762"/>
    <cellStyle name="Calculation 3 2 2 8" xfId="1389"/>
    <cellStyle name="Calculation 3 2 2 8 2" xfId="1823"/>
    <cellStyle name="Calculation 3 2 2 9" xfId="1474"/>
    <cellStyle name="Calculation 3 2 3" xfId="1454"/>
    <cellStyle name="Calculation 3 3" xfId="811"/>
    <cellStyle name="Calculation 3 3 2" xfId="1024"/>
    <cellStyle name="Calculation 3 3 2 2" xfId="1046"/>
    <cellStyle name="Calculation 3 3 2 2 2" xfId="1132"/>
    <cellStyle name="Calculation 3 3 2 2 2 2" xfId="1578"/>
    <cellStyle name="Calculation 3 3 2 2 3" xfId="1175"/>
    <cellStyle name="Calculation 3 3 2 2 3 2" xfId="1619"/>
    <cellStyle name="Calculation 3 3 2 2 4" xfId="1220"/>
    <cellStyle name="Calculation 3 3 2 2 4 2" xfId="1662"/>
    <cellStyle name="Calculation 3 3 2 2 5" xfId="1284"/>
    <cellStyle name="Calculation 3 3 2 2 5 2" xfId="1723"/>
    <cellStyle name="Calculation 3 3 2 2 6" xfId="1348"/>
    <cellStyle name="Calculation 3 3 2 2 6 2" xfId="1784"/>
    <cellStyle name="Calculation 3 3 2 2 7" xfId="1412"/>
    <cellStyle name="Calculation 3 3 2 2 7 2" xfId="1845"/>
    <cellStyle name="Calculation 3 3 2 2 8" xfId="1496"/>
    <cellStyle name="Calculation 3 3 2 3" xfId="1067"/>
    <cellStyle name="Calculation 3 3 2 3 2" xfId="1153"/>
    <cellStyle name="Calculation 3 3 2 3 2 2" xfId="1598"/>
    <cellStyle name="Calculation 3 3 2 3 3" xfId="1196"/>
    <cellStyle name="Calculation 3 3 2 3 3 2" xfId="1639"/>
    <cellStyle name="Calculation 3 3 2 3 4" xfId="1241"/>
    <cellStyle name="Calculation 3 3 2 3 4 2" xfId="1682"/>
    <cellStyle name="Calculation 3 3 2 3 5" xfId="1305"/>
    <cellStyle name="Calculation 3 3 2 3 5 2" xfId="1743"/>
    <cellStyle name="Calculation 3 3 2 3 6" xfId="1369"/>
    <cellStyle name="Calculation 3 3 2 3 6 2" xfId="1804"/>
    <cellStyle name="Calculation 3 3 2 3 7" xfId="1433"/>
    <cellStyle name="Calculation 3 3 2 3 7 2" xfId="1865"/>
    <cellStyle name="Calculation 3 3 2 3 8" xfId="1516"/>
    <cellStyle name="Calculation 3 3 2 4" xfId="1110"/>
    <cellStyle name="Calculation 3 3 2 4 2" xfId="1557"/>
    <cellStyle name="Calculation 3 3 2 5" xfId="1099"/>
    <cellStyle name="Calculation 3 3 2 5 2" xfId="1547"/>
    <cellStyle name="Calculation 3 3 2 6" xfId="1262"/>
    <cellStyle name="Calculation 3 3 2 6 2" xfId="1702"/>
    <cellStyle name="Calculation 3 3 2 7" xfId="1326"/>
    <cellStyle name="Calculation 3 3 2 7 2" xfId="1763"/>
    <cellStyle name="Calculation 3 3 2 8" xfId="1390"/>
    <cellStyle name="Calculation 3 3 2 8 2" xfId="1824"/>
    <cellStyle name="Calculation 3 3 2 9" xfId="1475"/>
    <cellStyle name="Calculation 3 3 3" xfId="1455"/>
    <cellStyle name="Centered Heading" xfId="812"/>
    <cellStyle name="Check Cell 2 2" xfId="813"/>
    <cellStyle name="Check Cell 2 3" xfId="814"/>
    <cellStyle name="Check Cell 3 2" xfId="815"/>
    <cellStyle name="Check Cell 3 3" xfId="816"/>
    <cellStyle name="Column_Title" xfId="624"/>
    <cellStyle name="Comma" xfId="1883" builtinId="3"/>
    <cellStyle name="Comma  - Style1" xfId="625"/>
    <cellStyle name="Comma  - Style2" xfId="626"/>
    <cellStyle name="Comma  - Style3" xfId="627"/>
    <cellStyle name="Comma  - Style4" xfId="628"/>
    <cellStyle name="Comma  - Style5" xfId="629"/>
    <cellStyle name="Comma  - Style6" xfId="630"/>
    <cellStyle name="Comma  - Style7" xfId="631"/>
    <cellStyle name="Comma  - Style8" xfId="632"/>
    <cellStyle name="Comma 10" xfId="1011"/>
    <cellStyle name="Comma 11" xfId="1015"/>
    <cellStyle name="Comma 12" xfId="1017"/>
    <cellStyle name="Comma 13" xfId="1019"/>
    <cellStyle name="Comma 14" xfId="56"/>
    <cellStyle name="Comma 15" xfId="1886"/>
    <cellStyle name="Comma 2" xfId="11"/>
    <cellStyle name="Comma 2 2" xfId="74"/>
    <cellStyle name="Comma 2 2 2" xfId="75"/>
    <cellStyle name="Comma 2 2 3" xfId="76"/>
    <cellStyle name="Comma 2 2 4" xfId="817"/>
    <cellStyle name="Comma 2 3" xfId="77"/>
    <cellStyle name="Comma 2 3 2" xfId="818"/>
    <cellStyle name="Comma 2 4" xfId="78"/>
    <cellStyle name="Comma 2 5" xfId="60"/>
    <cellStyle name="Comma 3" xfId="12"/>
    <cellStyle name="Comma 3 2" xfId="819"/>
    <cellStyle name="Comma 3 3" xfId="820"/>
    <cellStyle name="Comma 3 4" xfId="62"/>
    <cellStyle name="Comma 4" xfId="13"/>
    <cellStyle name="Comma 4 2" xfId="821"/>
    <cellStyle name="Comma 4 3" xfId="822"/>
    <cellStyle name="Comma 4 4" xfId="79"/>
    <cellStyle name="Comma 5" xfId="14"/>
    <cellStyle name="Comma 5 2" xfId="823"/>
    <cellStyle name="Comma 5 3" xfId="80"/>
    <cellStyle name="Comma 6" xfId="15"/>
    <cellStyle name="Comma 6 2" xfId="825"/>
    <cellStyle name="Comma 6 3" xfId="824"/>
    <cellStyle name="Comma 7" xfId="16"/>
    <cellStyle name="Comma 7 2" xfId="827"/>
    <cellStyle name="Comma 7 3" xfId="826"/>
    <cellStyle name="Comma 8" xfId="17"/>
    <cellStyle name="Comma 8 2" xfId="828"/>
    <cellStyle name="Comma 9" xfId="54"/>
    <cellStyle name="Comma 9 2" xfId="1013"/>
    <cellStyle name="Comma(2)" xfId="81"/>
    <cellStyle name="Comma0" xfId="633"/>
    <cellStyle name="Comma0 2" xfId="829"/>
    <cellStyle name="Comma0 3" xfId="830"/>
    <cellStyle name="Comma0 4" xfId="831"/>
    <cellStyle name="Comment" xfId="82"/>
    <cellStyle name="Comment 10" xfId="83"/>
    <cellStyle name="Comment 11" xfId="84"/>
    <cellStyle name="Comment 12" xfId="85"/>
    <cellStyle name="Comment 13" xfId="86"/>
    <cellStyle name="Comment 14" xfId="87"/>
    <cellStyle name="Comment 15" xfId="88"/>
    <cellStyle name="Comment 16" xfId="89"/>
    <cellStyle name="Comment 17" xfId="90"/>
    <cellStyle name="Comment 18" xfId="91"/>
    <cellStyle name="Comment 19" xfId="92"/>
    <cellStyle name="Comment 2" xfId="93"/>
    <cellStyle name="Comment 20" xfId="94"/>
    <cellStyle name="Comment 21" xfId="95"/>
    <cellStyle name="Comment 22" xfId="96"/>
    <cellStyle name="Comment 23" xfId="97"/>
    <cellStyle name="Comment 24" xfId="98"/>
    <cellStyle name="Comment 25" xfId="99"/>
    <cellStyle name="Comment 26" xfId="100"/>
    <cellStyle name="Comment 27" xfId="101"/>
    <cellStyle name="Comment 28" xfId="102"/>
    <cellStyle name="Comment 29" xfId="103"/>
    <cellStyle name="Comment 3" xfId="104"/>
    <cellStyle name="Comment 30" xfId="105"/>
    <cellStyle name="Comment 31" xfId="106"/>
    <cellStyle name="Comment 32" xfId="107"/>
    <cellStyle name="Comment 33" xfId="108"/>
    <cellStyle name="Comment 34" xfId="109"/>
    <cellStyle name="Comment 35" xfId="110"/>
    <cellStyle name="Comment 36" xfId="111"/>
    <cellStyle name="Comment 37" xfId="112"/>
    <cellStyle name="Comment 38" xfId="113"/>
    <cellStyle name="Comment 39" xfId="114"/>
    <cellStyle name="Comment 4" xfId="115"/>
    <cellStyle name="Comment 40" xfId="116"/>
    <cellStyle name="Comment 41" xfId="117"/>
    <cellStyle name="Comment 42" xfId="118"/>
    <cellStyle name="Comment 43" xfId="119"/>
    <cellStyle name="Comment 44" xfId="120"/>
    <cellStyle name="Comment 45" xfId="121"/>
    <cellStyle name="Comment 46" xfId="122"/>
    <cellStyle name="Comment 47" xfId="123"/>
    <cellStyle name="Comment 48" xfId="124"/>
    <cellStyle name="Comment 49" xfId="634"/>
    <cellStyle name="Comment 5" xfId="125"/>
    <cellStyle name="Comment 50" xfId="635"/>
    <cellStyle name="Comment 6" xfId="126"/>
    <cellStyle name="Comment 7" xfId="127"/>
    <cellStyle name="Comment 8" xfId="128"/>
    <cellStyle name="Comment 9" xfId="129"/>
    <cellStyle name="Comment_ACCT" xfId="130"/>
    <cellStyle name="Comments" xfId="131"/>
    <cellStyle name="Company Name" xfId="832"/>
    <cellStyle name="Currency" xfId="52" builtinId="4"/>
    <cellStyle name="Currency 2" xfId="6"/>
    <cellStyle name="Currency 2 2" xfId="833"/>
    <cellStyle name="Currency 2 3" xfId="834"/>
    <cellStyle name="Currency 2 3 2" xfId="835"/>
    <cellStyle name="Currency 2 3 2 2" xfId="836"/>
    <cellStyle name="Currency 2 4" xfId="59"/>
    <cellStyle name="Currency 3" xfId="837"/>
    <cellStyle name="Currency 3 2" xfId="838"/>
    <cellStyle name="Currency 4" xfId="57"/>
    <cellStyle name="Currency_CD-Oxford2" xfId="1"/>
    <cellStyle name="Currency0" xfId="636"/>
    <cellStyle name="Currency0 2" xfId="839"/>
    <cellStyle name="Currency0 3" xfId="840"/>
    <cellStyle name="Currency0 4" xfId="841"/>
    <cellStyle name="Data Enter" xfId="132"/>
    <cellStyle name="Date" xfId="133"/>
    <cellStyle name="Date 2" xfId="842"/>
    <cellStyle name="Date 3" xfId="843"/>
    <cellStyle name="Date 4" xfId="844"/>
    <cellStyle name="Date 5" xfId="845"/>
    <cellStyle name="Explanatory Text 2 2" xfId="846"/>
    <cellStyle name="Explanatory Text 2 3" xfId="847"/>
    <cellStyle name="Explanatory Text 3 2" xfId="848"/>
    <cellStyle name="Explanatory Text 3 3" xfId="849"/>
    <cellStyle name="F2" xfId="134"/>
    <cellStyle name="F3" xfId="135"/>
    <cellStyle name="F4" xfId="136"/>
    <cellStyle name="F5" xfId="137"/>
    <cellStyle name="F6" xfId="138"/>
    <cellStyle name="F7" xfId="139"/>
    <cellStyle name="F8" xfId="140"/>
    <cellStyle name="FactSheet" xfId="141"/>
    <cellStyle name="Fixed" xfId="142"/>
    <cellStyle name="Fixed 2" xfId="850"/>
    <cellStyle name="Fixed 3" xfId="851"/>
    <cellStyle name="Fixed 4" xfId="852"/>
    <cellStyle name="Fixed 5" xfId="853"/>
    <cellStyle name="FIXED 6" xfId="854"/>
    <cellStyle name="Flag" xfId="143"/>
    <cellStyle name="Good 2 2" xfId="855"/>
    <cellStyle name="Good 2 3" xfId="856"/>
    <cellStyle name="Good 3 2" xfId="857"/>
    <cellStyle name="Good 3 3" xfId="858"/>
    <cellStyle name="Grey" xfId="637"/>
    <cellStyle name="Header1" xfId="638"/>
    <cellStyle name="Header2" xfId="639"/>
    <cellStyle name="Header2 2" xfId="1041"/>
    <cellStyle name="Header2 2 2" xfId="1127"/>
    <cellStyle name="Header2 2 2 2" xfId="1574"/>
    <cellStyle name="Header2 2 3" xfId="1170"/>
    <cellStyle name="Header2 2 3 2" xfId="1615"/>
    <cellStyle name="Header2 2 4" xfId="1215"/>
    <cellStyle name="Header2 2 4 2" xfId="1658"/>
    <cellStyle name="Header2 2 5" xfId="1279"/>
    <cellStyle name="Header2 2 5 2" xfId="1719"/>
    <cellStyle name="Header2 2 6" xfId="1343"/>
    <cellStyle name="Header2 2 6 2" xfId="1780"/>
    <cellStyle name="Header2 2 7" xfId="1407"/>
    <cellStyle name="Header2 2 7 2" xfId="1841"/>
    <cellStyle name="Header2 2 8" xfId="1492"/>
    <cellStyle name="Header2 3" xfId="1105"/>
    <cellStyle name="Header2 3 2" xfId="1553"/>
    <cellStyle name="Header2 4" xfId="1084"/>
    <cellStyle name="Header2 4 2" xfId="1533"/>
    <cellStyle name="Header2 5" xfId="1097"/>
    <cellStyle name="Header2 5 2" xfId="1545"/>
    <cellStyle name="Heading 1 2" xfId="640"/>
    <cellStyle name="Heading 1 2 2" xfId="859"/>
    <cellStyle name="Heading 1 2 3" xfId="860"/>
    <cellStyle name="Heading 1 3" xfId="641"/>
    <cellStyle name="Heading 1 3 2" xfId="861"/>
    <cellStyle name="Heading 1 3 3" xfId="862"/>
    <cellStyle name="Heading 1 4" xfId="642"/>
    <cellStyle name="Heading 2 2" xfId="643"/>
    <cellStyle name="Heading 2 2 2" xfId="863"/>
    <cellStyle name="Heading 2 2 3" xfId="864"/>
    <cellStyle name="Heading 2 3" xfId="644"/>
    <cellStyle name="Heading 2 3 2" xfId="865"/>
    <cellStyle name="Heading 2 3 3" xfId="866"/>
    <cellStyle name="Heading 2 4" xfId="645"/>
    <cellStyle name="Heading 3 2" xfId="867"/>
    <cellStyle name="Heading 3 2 2" xfId="868"/>
    <cellStyle name="Heading 3 2 3" xfId="869"/>
    <cellStyle name="Heading 3 3 2" xfId="870"/>
    <cellStyle name="Heading 3 3 3" xfId="871"/>
    <cellStyle name="Heading 4 2" xfId="872"/>
    <cellStyle name="Heading 4 2 2" xfId="873"/>
    <cellStyle name="Heading 4 2 3" xfId="874"/>
    <cellStyle name="Heading 4 3 2" xfId="875"/>
    <cellStyle name="Heading 4 3 3" xfId="876"/>
    <cellStyle name="Heading No Underline" xfId="877"/>
    <cellStyle name="Heading With Underline" xfId="878"/>
    <cellStyle name="Heading1" xfId="144"/>
    <cellStyle name="Heading2" xfId="145"/>
    <cellStyle name="Hyperlink 2" xfId="146"/>
    <cellStyle name="Hyperlink 2 2" xfId="147"/>
    <cellStyle name="Hyperlink 2 3" xfId="148"/>
    <cellStyle name="Hyperlink 2_Cost Centers with Managers" xfId="149"/>
    <cellStyle name="Hyperlink 3" xfId="150"/>
    <cellStyle name="Hyperlink 3 2" xfId="151"/>
    <cellStyle name="Hyperlink 3 3" xfId="152"/>
    <cellStyle name="Hyperlink 4" xfId="153"/>
    <cellStyle name="Hyperlink 4 2" xfId="154"/>
    <cellStyle name="Hyperlink 4 3" xfId="155"/>
    <cellStyle name="Hyperlink 5" xfId="156"/>
    <cellStyle name="Input [yellow]" xfId="646"/>
    <cellStyle name="Input 2 2" xfId="879"/>
    <cellStyle name="Input 2 2 2" xfId="1025"/>
    <cellStyle name="Input 2 2 2 2" xfId="1047"/>
    <cellStyle name="Input 2 2 2 2 2" xfId="1133"/>
    <cellStyle name="Input 2 2 2 2 2 2" xfId="1579"/>
    <cellStyle name="Input 2 2 2 2 3" xfId="1176"/>
    <cellStyle name="Input 2 2 2 2 3 2" xfId="1620"/>
    <cellStyle name="Input 2 2 2 2 4" xfId="1221"/>
    <cellStyle name="Input 2 2 2 2 4 2" xfId="1663"/>
    <cellStyle name="Input 2 2 2 2 5" xfId="1285"/>
    <cellStyle name="Input 2 2 2 2 5 2" xfId="1724"/>
    <cellStyle name="Input 2 2 2 2 6" xfId="1349"/>
    <cellStyle name="Input 2 2 2 2 6 2" xfId="1785"/>
    <cellStyle name="Input 2 2 2 2 7" xfId="1413"/>
    <cellStyle name="Input 2 2 2 2 7 2" xfId="1846"/>
    <cellStyle name="Input 2 2 2 2 8" xfId="1497"/>
    <cellStyle name="Input 2 2 2 3" xfId="1068"/>
    <cellStyle name="Input 2 2 2 3 2" xfId="1154"/>
    <cellStyle name="Input 2 2 2 3 2 2" xfId="1599"/>
    <cellStyle name="Input 2 2 2 3 3" xfId="1197"/>
    <cellStyle name="Input 2 2 2 3 3 2" xfId="1640"/>
    <cellStyle name="Input 2 2 2 3 4" xfId="1242"/>
    <cellStyle name="Input 2 2 2 3 4 2" xfId="1683"/>
    <cellStyle name="Input 2 2 2 3 5" xfId="1306"/>
    <cellStyle name="Input 2 2 2 3 5 2" xfId="1744"/>
    <cellStyle name="Input 2 2 2 3 6" xfId="1370"/>
    <cellStyle name="Input 2 2 2 3 6 2" xfId="1805"/>
    <cellStyle name="Input 2 2 2 3 7" xfId="1434"/>
    <cellStyle name="Input 2 2 2 3 7 2" xfId="1866"/>
    <cellStyle name="Input 2 2 2 3 8" xfId="1517"/>
    <cellStyle name="Input 2 2 2 4" xfId="1111"/>
    <cellStyle name="Input 2 2 2 4 2" xfId="1558"/>
    <cellStyle name="Input 2 2 2 5" xfId="1100"/>
    <cellStyle name="Input 2 2 2 5 2" xfId="1548"/>
    <cellStyle name="Input 2 2 2 6" xfId="1263"/>
    <cellStyle name="Input 2 2 2 6 2" xfId="1703"/>
    <cellStyle name="Input 2 2 2 7" xfId="1327"/>
    <cellStyle name="Input 2 2 2 7 2" xfId="1764"/>
    <cellStyle name="Input 2 2 2 8" xfId="1391"/>
    <cellStyle name="Input 2 2 2 8 2" xfId="1825"/>
    <cellStyle name="Input 2 2 2 9" xfId="1476"/>
    <cellStyle name="Input 2 2 3" xfId="1456"/>
    <cellStyle name="Input 2 3" xfId="880"/>
    <cellStyle name="Input 2 3 2" xfId="1026"/>
    <cellStyle name="Input 2 3 2 2" xfId="1048"/>
    <cellStyle name="Input 2 3 2 2 2" xfId="1134"/>
    <cellStyle name="Input 2 3 2 2 2 2" xfId="1580"/>
    <cellStyle name="Input 2 3 2 2 3" xfId="1177"/>
    <cellStyle name="Input 2 3 2 2 3 2" xfId="1621"/>
    <cellStyle name="Input 2 3 2 2 4" xfId="1222"/>
    <cellStyle name="Input 2 3 2 2 4 2" xfId="1664"/>
    <cellStyle name="Input 2 3 2 2 5" xfId="1286"/>
    <cellStyle name="Input 2 3 2 2 5 2" xfId="1725"/>
    <cellStyle name="Input 2 3 2 2 6" xfId="1350"/>
    <cellStyle name="Input 2 3 2 2 6 2" xfId="1786"/>
    <cellStyle name="Input 2 3 2 2 7" xfId="1414"/>
    <cellStyle name="Input 2 3 2 2 7 2" xfId="1847"/>
    <cellStyle name="Input 2 3 2 2 8" xfId="1498"/>
    <cellStyle name="Input 2 3 2 3" xfId="1069"/>
    <cellStyle name="Input 2 3 2 3 2" xfId="1155"/>
    <cellStyle name="Input 2 3 2 3 2 2" xfId="1600"/>
    <cellStyle name="Input 2 3 2 3 3" xfId="1198"/>
    <cellStyle name="Input 2 3 2 3 3 2" xfId="1641"/>
    <cellStyle name="Input 2 3 2 3 4" xfId="1243"/>
    <cellStyle name="Input 2 3 2 3 4 2" xfId="1684"/>
    <cellStyle name="Input 2 3 2 3 5" xfId="1307"/>
    <cellStyle name="Input 2 3 2 3 5 2" xfId="1745"/>
    <cellStyle name="Input 2 3 2 3 6" xfId="1371"/>
    <cellStyle name="Input 2 3 2 3 6 2" xfId="1806"/>
    <cellStyle name="Input 2 3 2 3 7" xfId="1435"/>
    <cellStyle name="Input 2 3 2 3 7 2" xfId="1867"/>
    <cellStyle name="Input 2 3 2 3 8" xfId="1518"/>
    <cellStyle name="Input 2 3 2 4" xfId="1112"/>
    <cellStyle name="Input 2 3 2 4 2" xfId="1559"/>
    <cellStyle name="Input 2 3 2 5" xfId="1101"/>
    <cellStyle name="Input 2 3 2 5 2" xfId="1549"/>
    <cellStyle name="Input 2 3 2 6" xfId="1264"/>
    <cellStyle name="Input 2 3 2 6 2" xfId="1704"/>
    <cellStyle name="Input 2 3 2 7" xfId="1328"/>
    <cellStyle name="Input 2 3 2 7 2" xfId="1765"/>
    <cellStyle name="Input 2 3 2 8" xfId="1392"/>
    <cellStyle name="Input 2 3 2 8 2" xfId="1826"/>
    <cellStyle name="Input 2 3 2 9" xfId="1477"/>
    <cellStyle name="Input 2 3 3" xfId="1457"/>
    <cellStyle name="Input 3 2" xfId="881"/>
    <cellStyle name="Input 3 2 2" xfId="1027"/>
    <cellStyle name="Input 3 2 2 2" xfId="1049"/>
    <cellStyle name="Input 3 2 2 2 2" xfId="1135"/>
    <cellStyle name="Input 3 2 2 2 2 2" xfId="1581"/>
    <cellStyle name="Input 3 2 2 2 3" xfId="1178"/>
    <cellStyle name="Input 3 2 2 2 3 2" xfId="1622"/>
    <cellStyle name="Input 3 2 2 2 4" xfId="1223"/>
    <cellStyle name="Input 3 2 2 2 4 2" xfId="1665"/>
    <cellStyle name="Input 3 2 2 2 5" xfId="1287"/>
    <cellStyle name="Input 3 2 2 2 5 2" xfId="1726"/>
    <cellStyle name="Input 3 2 2 2 6" xfId="1351"/>
    <cellStyle name="Input 3 2 2 2 6 2" xfId="1787"/>
    <cellStyle name="Input 3 2 2 2 7" xfId="1415"/>
    <cellStyle name="Input 3 2 2 2 7 2" xfId="1848"/>
    <cellStyle name="Input 3 2 2 2 8" xfId="1499"/>
    <cellStyle name="Input 3 2 2 3" xfId="1070"/>
    <cellStyle name="Input 3 2 2 3 2" xfId="1156"/>
    <cellStyle name="Input 3 2 2 3 2 2" xfId="1601"/>
    <cellStyle name="Input 3 2 2 3 3" xfId="1199"/>
    <cellStyle name="Input 3 2 2 3 3 2" xfId="1642"/>
    <cellStyle name="Input 3 2 2 3 4" xfId="1244"/>
    <cellStyle name="Input 3 2 2 3 4 2" xfId="1685"/>
    <cellStyle name="Input 3 2 2 3 5" xfId="1308"/>
    <cellStyle name="Input 3 2 2 3 5 2" xfId="1746"/>
    <cellStyle name="Input 3 2 2 3 6" xfId="1372"/>
    <cellStyle name="Input 3 2 2 3 6 2" xfId="1807"/>
    <cellStyle name="Input 3 2 2 3 7" xfId="1436"/>
    <cellStyle name="Input 3 2 2 3 7 2" xfId="1868"/>
    <cellStyle name="Input 3 2 2 3 8" xfId="1519"/>
    <cellStyle name="Input 3 2 2 4" xfId="1113"/>
    <cellStyle name="Input 3 2 2 4 2" xfId="1560"/>
    <cellStyle name="Input 3 2 2 5" xfId="1087"/>
    <cellStyle name="Input 3 2 2 5 2" xfId="1535"/>
    <cellStyle name="Input 3 2 2 6" xfId="1265"/>
    <cellStyle name="Input 3 2 2 6 2" xfId="1705"/>
    <cellStyle name="Input 3 2 2 7" xfId="1329"/>
    <cellStyle name="Input 3 2 2 7 2" xfId="1766"/>
    <cellStyle name="Input 3 2 2 8" xfId="1393"/>
    <cellStyle name="Input 3 2 2 8 2" xfId="1827"/>
    <cellStyle name="Input 3 2 2 9" xfId="1478"/>
    <cellStyle name="Input 3 2 3" xfId="1458"/>
    <cellStyle name="Input 3 3" xfId="882"/>
    <cellStyle name="Input 3 3 2" xfId="1028"/>
    <cellStyle name="Input 3 3 2 2" xfId="1050"/>
    <cellStyle name="Input 3 3 2 2 2" xfId="1136"/>
    <cellStyle name="Input 3 3 2 2 2 2" xfId="1582"/>
    <cellStyle name="Input 3 3 2 2 3" xfId="1179"/>
    <cellStyle name="Input 3 3 2 2 3 2" xfId="1623"/>
    <cellStyle name="Input 3 3 2 2 4" xfId="1224"/>
    <cellStyle name="Input 3 3 2 2 4 2" xfId="1666"/>
    <cellStyle name="Input 3 3 2 2 5" xfId="1288"/>
    <cellStyle name="Input 3 3 2 2 5 2" xfId="1727"/>
    <cellStyle name="Input 3 3 2 2 6" xfId="1352"/>
    <cellStyle name="Input 3 3 2 2 6 2" xfId="1788"/>
    <cellStyle name="Input 3 3 2 2 7" xfId="1416"/>
    <cellStyle name="Input 3 3 2 2 7 2" xfId="1849"/>
    <cellStyle name="Input 3 3 2 2 8" xfId="1500"/>
    <cellStyle name="Input 3 3 2 3" xfId="1071"/>
    <cellStyle name="Input 3 3 2 3 2" xfId="1157"/>
    <cellStyle name="Input 3 3 2 3 2 2" xfId="1602"/>
    <cellStyle name="Input 3 3 2 3 3" xfId="1200"/>
    <cellStyle name="Input 3 3 2 3 3 2" xfId="1643"/>
    <cellStyle name="Input 3 3 2 3 4" xfId="1245"/>
    <cellStyle name="Input 3 3 2 3 4 2" xfId="1686"/>
    <cellStyle name="Input 3 3 2 3 5" xfId="1309"/>
    <cellStyle name="Input 3 3 2 3 5 2" xfId="1747"/>
    <cellStyle name="Input 3 3 2 3 6" xfId="1373"/>
    <cellStyle name="Input 3 3 2 3 6 2" xfId="1808"/>
    <cellStyle name="Input 3 3 2 3 7" xfId="1437"/>
    <cellStyle name="Input 3 3 2 3 7 2" xfId="1869"/>
    <cellStyle name="Input 3 3 2 3 8" xfId="1520"/>
    <cellStyle name="Input 3 3 2 4" xfId="1114"/>
    <cellStyle name="Input 3 3 2 4 2" xfId="1561"/>
    <cellStyle name="Input 3 3 2 5" xfId="1088"/>
    <cellStyle name="Input 3 3 2 5 2" xfId="1536"/>
    <cellStyle name="Input 3 3 2 6" xfId="1266"/>
    <cellStyle name="Input 3 3 2 6 2" xfId="1706"/>
    <cellStyle name="Input 3 3 2 7" xfId="1330"/>
    <cellStyle name="Input 3 3 2 7 2" xfId="1767"/>
    <cellStyle name="Input 3 3 2 8" xfId="1394"/>
    <cellStyle name="Input 3 3 2 8 2" xfId="1828"/>
    <cellStyle name="Input 3 3 2 9" xfId="1479"/>
    <cellStyle name="Input 3 3 3" xfId="1459"/>
    <cellStyle name="Input Box" xfId="157"/>
    <cellStyle name="input(0)" xfId="158"/>
    <cellStyle name="Input(2)" xfId="159"/>
    <cellStyle name="Interface" xfId="160"/>
    <cellStyle name="LineItemValue" xfId="161"/>
    <cellStyle name="Lines" xfId="162"/>
    <cellStyle name="Lines 2" xfId="163"/>
    <cellStyle name="Lines 3" xfId="164"/>
    <cellStyle name="Linked Cell 2 2" xfId="883"/>
    <cellStyle name="Linked Cell 2 3" xfId="884"/>
    <cellStyle name="Linked Cell 3 2" xfId="885"/>
    <cellStyle name="Linked Cell 3 3" xfId="886"/>
    <cellStyle name="Milliers [0]_laroux" xfId="647"/>
    <cellStyle name="Milliers_laroux" xfId="648"/>
    <cellStyle name="Monétaire [0]_laroux" xfId="649"/>
    <cellStyle name="Monétaire_laroux" xfId="650"/>
    <cellStyle name="Neutral 2 2" xfId="887"/>
    <cellStyle name="Neutral 2 3" xfId="888"/>
    <cellStyle name="Neutral 3 2" xfId="889"/>
    <cellStyle name="Neutral 3 3" xfId="890"/>
    <cellStyle name="New_normal" xfId="165"/>
    <cellStyle name="no dec" xfId="651"/>
    <cellStyle name="Normal" xfId="0" builtinId="0"/>
    <cellStyle name="Normal - Style1" xfId="166"/>
    <cellStyle name="Normal - Style1 2" xfId="891"/>
    <cellStyle name="Normal - Style2" xfId="167"/>
    <cellStyle name="Normal - Style3" xfId="168"/>
    <cellStyle name="Normal - Style4" xfId="169"/>
    <cellStyle name="Normal - Style5" xfId="170"/>
    <cellStyle name="Normal 10" xfId="171"/>
    <cellStyle name="Normal 10 10" xfId="172"/>
    <cellStyle name="Normal 10 11" xfId="173"/>
    <cellStyle name="Normal 10 12" xfId="174"/>
    <cellStyle name="Normal 10 13" xfId="892"/>
    <cellStyle name="Normal 10 2" xfId="175"/>
    <cellStyle name="Normal 10 2 2" xfId="893"/>
    <cellStyle name="Normal 10 3" xfId="176"/>
    <cellStyle name="Normal 10 3 2" xfId="894"/>
    <cellStyle name="Normal 10 4" xfId="177"/>
    <cellStyle name="Normal 10 5" xfId="178"/>
    <cellStyle name="Normal 10 6" xfId="179"/>
    <cellStyle name="Normal 10 7" xfId="180"/>
    <cellStyle name="Normal 10 8" xfId="181"/>
    <cellStyle name="Normal 10 9" xfId="182"/>
    <cellStyle name="Normal 10_ACCT" xfId="652"/>
    <cellStyle name="Normal 100" xfId="895"/>
    <cellStyle name="Normal 101" xfId="896"/>
    <cellStyle name="Normal 102" xfId="897"/>
    <cellStyle name="Normal 103" xfId="898"/>
    <cellStyle name="Normal 104" xfId="899"/>
    <cellStyle name="Normal 105" xfId="900"/>
    <cellStyle name="Normal 106" xfId="1012"/>
    <cellStyle name="Normal 107" xfId="1014"/>
    <cellStyle name="Normal 108" xfId="1016"/>
    <cellStyle name="Normal 109" xfId="1018"/>
    <cellStyle name="Normal 11" xfId="183"/>
    <cellStyle name="Normal 11 10" xfId="184"/>
    <cellStyle name="Normal 11 11" xfId="185"/>
    <cellStyle name="Normal 11 12" xfId="186"/>
    <cellStyle name="Normal 11 13" xfId="901"/>
    <cellStyle name="Normal 11 14" xfId="902"/>
    <cellStyle name="Normal 11 2" xfId="187"/>
    <cellStyle name="Normal 11 3" xfId="188"/>
    <cellStyle name="Normal 11 4" xfId="189"/>
    <cellStyle name="Normal 11 5" xfId="190"/>
    <cellStyle name="Normal 11 6" xfId="191"/>
    <cellStyle name="Normal 11 7" xfId="192"/>
    <cellStyle name="Normal 11 8" xfId="193"/>
    <cellStyle name="Normal 11 9" xfId="194"/>
    <cellStyle name="Normal 110" xfId="55"/>
    <cellStyle name="Normal 111" xfId="1884"/>
    <cellStyle name="Normal 112" xfId="1885"/>
    <cellStyle name="Normal 113" xfId="1888"/>
    <cellStyle name="Normal 114" xfId="1889"/>
    <cellStyle name="Normal 12" xfId="195"/>
    <cellStyle name="Normal 12 10" xfId="196"/>
    <cellStyle name="Normal 12 11" xfId="197"/>
    <cellStyle name="Normal 12 12" xfId="198"/>
    <cellStyle name="Normal 12 13" xfId="903"/>
    <cellStyle name="Normal 12 2" xfId="199"/>
    <cellStyle name="Normal 12 3" xfId="200"/>
    <cellStyle name="Normal 12 4" xfId="201"/>
    <cellStyle name="Normal 12 5" xfId="202"/>
    <cellStyle name="Normal 12 6" xfId="203"/>
    <cellStyle name="Normal 12 7" xfId="204"/>
    <cellStyle name="Normal 12 8" xfId="205"/>
    <cellStyle name="Normal 12 9" xfId="206"/>
    <cellStyle name="Normal 13" xfId="207"/>
    <cellStyle name="Normal 13 10" xfId="208"/>
    <cellStyle name="Normal 13 11" xfId="209"/>
    <cellStyle name="Normal 13 12" xfId="210"/>
    <cellStyle name="Normal 13 13" xfId="904"/>
    <cellStyle name="Normal 13 2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4" xfId="219"/>
    <cellStyle name="Normal 14 10" xfId="220"/>
    <cellStyle name="Normal 14 11" xfId="221"/>
    <cellStyle name="Normal 14 12" xfId="222"/>
    <cellStyle name="Normal 14 13" xfId="905"/>
    <cellStyle name="Normal 14 2" xfId="223"/>
    <cellStyle name="Normal 14 3" xfId="224"/>
    <cellStyle name="Normal 14 4" xfId="225"/>
    <cellStyle name="Normal 14 5" xfId="226"/>
    <cellStyle name="Normal 14 6" xfId="227"/>
    <cellStyle name="Normal 14 7" xfId="228"/>
    <cellStyle name="Normal 14 8" xfId="229"/>
    <cellStyle name="Normal 14 9" xfId="230"/>
    <cellStyle name="Normal 15" xfId="231"/>
    <cellStyle name="Normal 15 10" xfId="232"/>
    <cellStyle name="Normal 15 11" xfId="233"/>
    <cellStyle name="Normal 15 12" xfId="234"/>
    <cellStyle name="Normal 15 13" xfId="906"/>
    <cellStyle name="Normal 15 2" xfId="235"/>
    <cellStyle name="Normal 15 3" xfId="236"/>
    <cellStyle name="Normal 15 4" xfId="237"/>
    <cellStyle name="Normal 15 5" xfId="238"/>
    <cellStyle name="Normal 15 6" xfId="239"/>
    <cellStyle name="Normal 15 7" xfId="240"/>
    <cellStyle name="Normal 15 8" xfId="241"/>
    <cellStyle name="Normal 15 9" xfId="242"/>
    <cellStyle name="Normal 16" xfId="243"/>
    <cellStyle name="Normal 16 10" xfId="244"/>
    <cellStyle name="Normal 16 11" xfId="245"/>
    <cellStyle name="Normal 16 12" xfId="246"/>
    <cellStyle name="Normal 16 13" xfId="907"/>
    <cellStyle name="Normal 16 2" xfId="247"/>
    <cellStyle name="Normal 16 3" xfId="248"/>
    <cellStyle name="Normal 16 4" xfId="249"/>
    <cellStyle name="Normal 16 5" xfId="250"/>
    <cellStyle name="Normal 16 6" xfId="251"/>
    <cellStyle name="Normal 16 7" xfId="252"/>
    <cellStyle name="Normal 16 8" xfId="253"/>
    <cellStyle name="Normal 16 9" xfId="254"/>
    <cellStyle name="Normal 17" xfId="255"/>
    <cellStyle name="Normal 17 10" xfId="256"/>
    <cellStyle name="Normal 17 11" xfId="257"/>
    <cellStyle name="Normal 17 12" xfId="258"/>
    <cellStyle name="Normal 17 13" xfId="908"/>
    <cellStyle name="Normal 17 2" xfId="259"/>
    <cellStyle name="Normal 17 3" xfId="260"/>
    <cellStyle name="Normal 17 4" xfId="261"/>
    <cellStyle name="Normal 17 5" xfId="262"/>
    <cellStyle name="Normal 17 6" xfId="263"/>
    <cellStyle name="Normal 17 7" xfId="264"/>
    <cellStyle name="Normal 17 8" xfId="265"/>
    <cellStyle name="Normal 17 9" xfId="266"/>
    <cellStyle name="Normal 18" xfId="267"/>
    <cellStyle name="Normal 18 10" xfId="268"/>
    <cellStyle name="Normal 18 11" xfId="269"/>
    <cellStyle name="Normal 18 12" xfId="270"/>
    <cellStyle name="Normal 18 13" xfId="909"/>
    <cellStyle name="Normal 18 2" xfId="271"/>
    <cellStyle name="Normal 18 3" xfId="272"/>
    <cellStyle name="Normal 18 4" xfId="273"/>
    <cellStyle name="Normal 18 5" xfId="274"/>
    <cellStyle name="Normal 18 6" xfId="275"/>
    <cellStyle name="Normal 18 7" xfId="276"/>
    <cellStyle name="Normal 18 8" xfId="277"/>
    <cellStyle name="Normal 18 9" xfId="278"/>
    <cellStyle name="Normal 19" xfId="279"/>
    <cellStyle name="Normal 19 10" xfId="280"/>
    <cellStyle name="Normal 19 11" xfId="281"/>
    <cellStyle name="Normal 19 12" xfId="282"/>
    <cellStyle name="Normal 19 13" xfId="910"/>
    <cellStyle name="Normal 19 2" xfId="283"/>
    <cellStyle name="Normal 19 3" xfId="284"/>
    <cellStyle name="Normal 19 4" xfId="285"/>
    <cellStyle name="Normal 19 5" xfId="286"/>
    <cellStyle name="Normal 19 6" xfId="287"/>
    <cellStyle name="Normal 19 7" xfId="288"/>
    <cellStyle name="Normal 19 8" xfId="289"/>
    <cellStyle name="Normal 19 9" xfId="290"/>
    <cellStyle name="Normal 2" xfId="4"/>
    <cellStyle name="Normal 2 10" xfId="7"/>
    <cellStyle name="Normal 2 10 2" xfId="291"/>
    <cellStyle name="Normal 2 11" xfId="292"/>
    <cellStyle name="Normal 2 12" xfId="293"/>
    <cellStyle name="Normal 2 13" xfId="294"/>
    <cellStyle name="Normal 2 14" xfId="295"/>
    <cellStyle name="Normal 2 15" xfId="296"/>
    <cellStyle name="Normal 2 16" xfId="1882"/>
    <cellStyle name="Normal 2 2" xfId="10"/>
    <cellStyle name="Normal 2 2 10" xfId="298"/>
    <cellStyle name="Normal 2 2 11" xfId="299"/>
    <cellStyle name="Normal 2 2 12" xfId="300"/>
    <cellStyle name="Normal 2 2 13" xfId="301"/>
    <cellStyle name="Normal 2 2 14" xfId="302"/>
    <cellStyle name="Normal 2 2 15" xfId="303"/>
    <cellStyle name="Normal 2 2 16" xfId="304"/>
    <cellStyle name="Normal 2 2 17" xfId="305"/>
    <cellStyle name="Normal 2 2 18" xfId="306"/>
    <cellStyle name="Normal 2 2 19" xfId="307"/>
    <cellStyle name="Normal 2 2 2" xfId="308"/>
    <cellStyle name="Normal 2 2 20" xfId="309"/>
    <cellStyle name="Normal 2 2 21" xfId="310"/>
    <cellStyle name="Normal 2 2 22" xfId="311"/>
    <cellStyle name="Normal 2 2 23" xfId="312"/>
    <cellStyle name="Normal 2 2 24" xfId="313"/>
    <cellStyle name="Normal 2 2 25" xfId="314"/>
    <cellStyle name="Normal 2 2 26" xfId="315"/>
    <cellStyle name="Normal 2 2 27" xfId="316"/>
    <cellStyle name="Normal 2 2 28" xfId="317"/>
    <cellStyle name="Normal 2 2 29" xfId="318"/>
    <cellStyle name="Normal 2 2 3" xfId="319"/>
    <cellStyle name="Normal 2 2 30" xfId="320"/>
    <cellStyle name="Normal 2 2 31" xfId="321"/>
    <cellStyle name="Normal 2 2 32" xfId="322"/>
    <cellStyle name="Normal 2 2 33" xfId="323"/>
    <cellStyle name="Normal 2 2 34" xfId="324"/>
    <cellStyle name="Normal 2 2 35" xfId="325"/>
    <cellStyle name="Normal 2 2 36" xfId="326"/>
    <cellStyle name="Normal 2 2 37" xfId="327"/>
    <cellStyle name="Normal 2 2 38" xfId="328"/>
    <cellStyle name="Normal 2 2 39" xfId="329"/>
    <cellStyle name="Normal 2 2 4" xfId="330"/>
    <cellStyle name="Normal 2 2 40" xfId="331"/>
    <cellStyle name="Normal 2 2 41" xfId="332"/>
    <cellStyle name="Normal 2 2 42" xfId="333"/>
    <cellStyle name="Normal 2 2 43" xfId="334"/>
    <cellStyle name="Normal 2 2 44" xfId="335"/>
    <cellStyle name="Normal 2 2 45" xfId="336"/>
    <cellStyle name="Normal 2 2 46" xfId="337"/>
    <cellStyle name="Normal 2 2 47" xfId="338"/>
    <cellStyle name="Normal 2 2 48" xfId="339"/>
    <cellStyle name="Normal 2 2 49" xfId="653"/>
    <cellStyle name="Normal 2 2 5" xfId="340"/>
    <cellStyle name="Normal 2 2 50" xfId="654"/>
    <cellStyle name="Normal 2 2 51" xfId="297"/>
    <cellStyle name="Normal 2 2 52" xfId="1890"/>
    <cellStyle name="Normal 2 2 6" xfId="341"/>
    <cellStyle name="Normal 2 2 7" xfId="342"/>
    <cellStyle name="Normal 2 2 8" xfId="343"/>
    <cellStyle name="Normal 2 2 9" xfId="344"/>
    <cellStyle name="Normal 2 2_ACCT" xfId="345"/>
    <cellStyle name="Normal 2 3" xfId="18"/>
    <cellStyle name="Normal 2 3 10" xfId="347"/>
    <cellStyle name="Normal 2 3 11" xfId="348"/>
    <cellStyle name="Normal 2 3 12" xfId="349"/>
    <cellStyle name="Normal 2 3 13" xfId="346"/>
    <cellStyle name="Normal 2 3 2" xfId="350"/>
    <cellStyle name="Normal 2 3 3" xfId="351"/>
    <cellStyle name="Normal 2 3 4" xfId="352"/>
    <cellStyle name="Normal 2 3 5" xfId="353"/>
    <cellStyle name="Normal 2 3 6" xfId="354"/>
    <cellStyle name="Normal 2 3 7" xfId="355"/>
    <cellStyle name="Normal 2 3 8" xfId="356"/>
    <cellStyle name="Normal 2 3 9" xfId="357"/>
    <cellStyle name="Normal 2 3_CPT" xfId="358"/>
    <cellStyle name="Normal 2 4" xfId="19"/>
    <cellStyle name="Normal 2 4 2" xfId="359"/>
    <cellStyle name="Normal 2 5" xfId="20"/>
    <cellStyle name="Normal 2 5 2" xfId="360"/>
    <cellStyle name="Normal 2 6" xfId="21"/>
    <cellStyle name="Normal 2 6 2" xfId="361"/>
    <cellStyle name="Normal 2 7" xfId="22"/>
    <cellStyle name="Normal 2 7 2" xfId="362"/>
    <cellStyle name="Normal 2 8" xfId="23"/>
    <cellStyle name="Normal 2 8 2" xfId="363"/>
    <cellStyle name="Normal 2 9" xfId="24"/>
    <cellStyle name="Normal 2 9 2" xfId="364"/>
    <cellStyle name="Normal 2_ACCT" xfId="655"/>
    <cellStyle name="Normal 20" xfId="365"/>
    <cellStyle name="Normal 20 10" xfId="366"/>
    <cellStyle name="Normal 20 11" xfId="367"/>
    <cellStyle name="Normal 20 12" xfId="368"/>
    <cellStyle name="Normal 20 13" xfId="911"/>
    <cellStyle name="Normal 20 2" xfId="369"/>
    <cellStyle name="Normal 20 3" xfId="370"/>
    <cellStyle name="Normal 20 4" xfId="371"/>
    <cellStyle name="Normal 20 5" xfId="372"/>
    <cellStyle name="Normal 20 6" xfId="373"/>
    <cellStyle name="Normal 20 7" xfId="374"/>
    <cellStyle name="Normal 20 8" xfId="375"/>
    <cellStyle name="Normal 20 9" xfId="376"/>
    <cellStyle name="Normal 21" xfId="377"/>
    <cellStyle name="Normal 21 2" xfId="912"/>
    <cellStyle name="Normal 22" xfId="378"/>
    <cellStyle name="Normal 22 2" xfId="913"/>
    <cellStyle name="Normal 23" xfId="379"/>
    <cellStyle name="Normal 23 2" xfId="914"/>
    <cellStyle name="Normal 24" xfId="380"/>
    <cellStyle name="Normal 24 2" xfId="915"/>
    <cellStyle name="Normal 25" xfId="381"/>
    <cellStyle name="Normal 25 2" xfId="916"/>
    <cellStyle name="Normal 26" xfId="382"/>
    <cellStyle name="Normal 26 2" xfId="917"/>
    <cellStyle name="Normal 27" xfId="383"/>
    <cellStyle name="Normal 27 2" xfId="918"/>
    <cellStyle name="Normal 28" xfId="384"/>
    <cellStyle name="Normal 28 2" xfId="919"/>
    <cellStyle name="Normal 29" xfId="385"/>
    <cellStyle name="Normal 29 2" xfId="920"/>
    <cellStyle name="Normal 3" xfId="8"/>
    <cellStyle name="Normal 3 2" xfId="25"/>
    <cellStyle name="Normal 3 2 2" xfId="921"/>
    <cellStyle name="Normal 3 2 3" xfId="922"/>
    <cellStyle name="Normal 3 2 4" xfId="923"/>
    <cellStyle name="Normal 3 2 5" xfId="387"/>
    <cellStyle name="Normal 3 2_MTD Receipts Dashboard" xfId="924"/>
    <cellStyle name="Normal 3 3" xfId="44"/>
    <cellStyle name="Normal 3 3 2" xfId="925"/>
    <cellStyle name="Normal 3 3 3" xfId="388"/>
    <cellStyle name="Normal 3 4" xfId="36"/>
    <cellStyle name="Normal 3 4 2" xfId="926"/>
    <cellStyle name="Normal 3 4 2 2" xfId="927"/>
    <cellStyle name="Normal 3 4 3" xfId="386"/>
    <cellStyle name="Normal 3 5" xfId="928"/>
    <cellStyle name="Normal 3 5 2" xfId="929"/>
    <cellStyle name="Normal 3 6" xfId="66"/>
    <cellStyle name="Normal 3 8" xfId="930"/>
    <cellStyle name="Normal 3_ACCT" xfId="656"/>
    <cellStyle name="Normal 30" xfId="389"/>
    <cellStyle name="Normal 30 2" xfId="931"/>
    <cellStyle name="Normal 31" xfId="390"/>
    <cellStyle name="Normal 31 2" xfId="932"/>
    <cellStyle name="Normal 32" xfId="391"/>
    <cellStyle name="Normal 32 2" xfId="933"/>
    <cellStyle name="Normal 33" xfId="392"/>
    <cellStyle name="Normal 33 2" xfId="934"/>
    <cellStyle name="Normal 34" xfId="393"/>
    <cellStyle name="Normal 35" xfId="394"/>
    <cellStyle name="Normal 36" xfId="395"/>
    <cellStyle name="Normal 37" xfId="396"/>
    <cellStyle name="Normal 38" xfId="397"/>
    <cellStyle name="Normal 39" xfId="398"/>
    <cellStyle name="Normal 4" xfId="26"/>
    <cellStyle name="Normal 4 2" xfId="27"/>
    <cellStyle name="Normal 4 2 2" xfId="400"/>
    <cellStyle name="Normal 4 3" xfId="401"/>
    <cellStyle name="Normal 4 4" xfId="935"/>
    <cellStyle name="Normal 4 5" xfId="399"/>
    <cellStyle name="Normal 4_ACCT" xfId="657"/>
    <cellStyle name="Normal 40" xfId="402"/>
    <cellStyle name="Normal 41" xfId="403"/>
    <cellStyle name="Normal 42" xfId="404"/>
    <cellStyle name="Normal 43" xfId="405"/>
    <cellStyle name="Normal 44" xfId="406"/>
    <cellStyle name="Normal 45" xfId="407"/>
    <cellStyle name="Normal 46" xfId="408"/>
    <cellStyle name="Normal 47" xfId="409"/>
    <cellStyle name="Normal 48" xfId="410"/>
    <cellStyle name="Normal 49" xfId="411"/>
    <cellStyle name="Normal 5" xfId="28"/>
    <cellStyle name="Normal 5 2" xfId="29"/>
    <cellStyle name="Normal 5 2 2" xfId="412"/>
    <cellStyle name="Normal 5 3" xfId="413"/>
    <cellStyle name="Normal 5 4" xfId="936"/>
    <cellStyle name="Normal 5 5" xfId="64"/>
    <cellStyle name="Normal 5_ACCT" xfId="658"/>
    <cellStyle name="Normal 50" xfId="414"/>
    <cellStyle name="Normal 51" xfId="415"/>
    <cellStyle name="Normal 52" xfId="416"/>
    <cellStyle name="Normal 53" xfId="417"/>
    <cellStyle name="Normal 54" xfId="418"/>
    <cellStyle name="Normal 55" xfId="419"/>
    <cellStyle name="Normal 56" xfId="420"/>
    <cellStyle name="Normal 57" xfId="421"/>
    <cellStyle name="Normal 58" xfId="422"/>
    <cellStyle name="Normal 59" xfId="423"/>
    <cellStyle name="Normal 6" xfId="30"/>
    <cellStyle name="Normal 6 2" xfId="46"/>
    <cellStyle name="Normal 6 2 2" xfId="937"/>
    <cellStyle name="Normal 6 2 3" xfId="425"/>
    <cellStyle name="Normal 6 3" xfId="38"/>
    <cellStyle name="Normal 6 3 2" xfId="426"/>
    <cellStyle name="Normal 6 4" xfId="424"/>
    <cellStyle name="Normal 6 5" xfId="938"/>
    <cellStyle name="Normal 6 6" xfId="65"/>
    <cellStyle name="Normal 6_ACCT" xfId="659"/>
    <cellStyle name="Normal 60" xfId="427"/>
    <cellStyle name="Normal 61" xfId="428"/>
    <cellStyle name="Normal 62" xfId="429"/>
    <cellStyle name="Normal 63" xfId="430"/>
    <cellStyle name="Normal 64" xfId="431"/>
    <cellStyle name="Normal 65" xfId="432"/>
    <cellStyle name="Normal 66" xfId="433"/>
    <cellStyle name="Normal 67" xfId="434"/>
    <cellStyle name="Normal 68" xfId="435"/>
    <cellStyle name="Normal 69" xfId="436"/>
    <cellStyle name="Normal 7" xfId="32"/>
    <cellStyle name="Normal 7 10" xfId="438"/>
    <cellStyle name="Normal 7 11" xfId="439"/>
    <cellStyle name="Normal 7 12" xfId="440"/>
    <cellStyle name="Normal 7 13" xfId="939"/>
    <cellStyle name="Normal 7 14" xfId="437"/>
    <cellStyle name="Normal 7 2" xfId="48"/>
    <cellStyle name="Normal 7 2 2" xfId="441"/>
    <cellStyle name="Normal 7 3" xfId="40"/>
    <cellStyle name="Normal 7 3 2" xfId="442"/>
    <cellStyle name="Normal 7 4" xfId="443"/>
    <cellStyle name="Normal 7 5" xfId="444"/>
    <cellStyle name="Normal 7 6" xfId="445"/>
    <cellStyle name="Normal 7 7" xfId="446"/>
    <cellStyle name="Normal 7 8" xfId="447"/>
    <cellStyle name="Normal 7 9" xfId="448"/>
    <cellStyle name="Normal 7_ACCT" xfId="660"/>
    <cellStyle name="Normal 70" xfId="449"/>
    <cellStyle name="Normal 71" xfId="450"/>
    <cellStyle name="Normal 72" xfId="451"/>
    <cellStyle name="Normal 73" xfId="661"/>
    <cellStyle name="Normal 74" xfId="662"/>
    <cellStyle name="Normal 75" xfId="940"/>
    <cellStyle name="Normal 75 2" xfId="941"/>
    <cellStyle name="Normal 76" xfId="942"/>
    <cellStyle name="Normal 77" xfId="943"/>
    <cellStyle name="Normal 78" xfId="944"/>
    <cellStyle name="Normal 79" xfId="945"/>
    <cellStyle name="Normal 79 2" xfId="946"/>
    <cellStyle name="Normal 8" xfId="34"/>
    <cellStyle name="Normal 8 10" xfId="453"/>
    <cellStyle name="Normal 8 11" xfId="454"/>
    <cellStyle name="Normal 8 12" xfId="455"/>
    <cellStyle name="Normal 8 13" xfId="947"/>
    <cellStyle name="Normal 8 14" xfId="452"/>
    <cellStyle name="Normal 8 2" xfId="50"/>
    <cellStyle name="Normal 8 2 2" xfId="456"/>
    <cellStyle name="Normal 8 3" xfId="42"/>
    <cellStyle name="Normal 8 3 2" xfId="457"/>
    <cellStyle name="Normal 8 4" xfId="458"/>
    <cellStyle name="Normal 8 5" xfId="459"/>
    <cellStyle name="Normal 8 6" xfId="460"/>
    <cellStyle name="Normal 8 7" xfId="461"/>
    <cellStyle name="Normal 8 8" xfId="462"/>
    <cellStyle name="Normal 8 9" xfId="463"/>
    <cellStyle name="Normal 8_ACCT" xfId="663"/>
    <cellStyle name="Normal 80" xfId="948"/>
    <cellStyle name="Normal 81" xfId="949"/>
    <cellStyle name="Normal 82" xfId="950"/>
    <cellStyle name="Normal 83" xfId="951"/>
    <cellStyle name="Normal 84" xfId="952"/>
    <cellStyle name="Normal 85" xfId="953"/>
    <cellStyle name="Normal 86" xfId="954"/>
    <cellStyle name="Normal 87" xfId="955"/>
    <cellStyle name="Normal 88" xfId="956"/>
    <cellStyle name="Normal 89" xfId="957"/>
    <cellStyle name="Normal 9" xfId="53"/>
    <cellStyle name="Normal 9 10" xfId="465"/>
    <cellStyle name="Normal 9 11" xfId="466"/>
    <cellStyle name="Normal 9 12" xfId="467"/>
    <cellStyle name="Normal 9 13" xfId="958"/>
    <cellStyle name="Normal 9 14" xfId="464"/>
    <cellStyle name="Normal 9 2" xfId="468"/>
    <cellStyle name="Normal 9 3" xfId="469"/>
    <cellStyle name="Normal 9 4" xfId="470"/>
    <cellStyle name="Normal 9 5" xfId="471"/>
    <cellStyle name="Normal 9 6" xfId="472"/>
    <cellStyle name="Normal 9 7" xfId="473"/>
    <cellStyle name="Normal 9 8" xfId="474"/>
    <cellStyle name="Normal 9 9" xfId="475"/>
    <cellStyle name="Normal 9_ACCT" xfId="664"/>
    <cellStyle name="Normal 90" xfId="959"/>
    <cellStyle name="Normal 91" xfId="960"/>
    <cellStyle name="Normal 92" xfId="961"/>
    <cellStyle name="Normal 93" xfId="962"/>
    <cellStyle name="Normal 94" xfId="963"/>
    <cellStyle name="Normal 95" xfId="964"/>
    <cellStyle name="Normal 96" xfId="965"/>
    <cellStyle name="Normal 97" xfId="966"/>
    <cellStyle name="Normal 98" xfId="967"/>
    <cellStyle name="Normal 99" xfId="968"/>
    <cellStyle name="Normal_CD-Oxford2" xfId="2"/>
    <cellStyle name="Note 2" xfId="665"/>
    <cellStyle name="Note 2 2" xfId="969"/>
    <cellStyle name="Note 2 2 2" xfId="1029"/>
    <cellStyle name="Note 2 2 2 2" xfId="1051"/>
    <cellStyle name="Note 2 2 2 2 2" xfId="1137"/>
    <cellStyle name="Note 2 2 2 2 2 2" xfId="1583"/>
    <cellStyle name="Note 2 2 2 2 3" xfId="1180"/>
    <cellStyle name="Note 2 2 2 2 3 2" xfId="1624"/>
    <cellStyle name="Note 2 2 2 2 4" xfId="1225"/>
    <cellStyle name="Note 2 2 2 2 4 2" xfId="1667"/>
    <cellStyle name="Note 2 2 2 2 5" xfId="1289"/>
    <cellStyle name="Note 2 2 2 2 5 2" xfId="1728"/>
    <cellStyle name="Note 2 2 2 2 6" xfId="1353"/>
    <cellStyle name="Note 2 2 2 2 6 2" xfId="1789"/>
    <cellStyle name="Note 2 2 2 2 7" xfId="1417"/>
    <cellStyle name="Note 2 2 2 2 7 2" xfId="1850"/>
    <cellStyle name="Note 2 2 2 2 8" xfId="1501"/>
    <cellStyle name="Note 2 2 2 3" xfId="1072"/>
    <cellStyle name="Note 2 2 2 3 2" xfId="1158"/>
    <cellStyle name="Note 2 2 2 3 2 2" xfId="1603"/>
    <cellStyle name="Note 2 2 2 3 3" xfId="1201"/>
    <cellStyle name="Note 2 2 2 3 3 2" xfId="1644"/>
    <cellStyle name="Note 2 2 2 3 4" xfId="1246"/>
    <cellStyle name="Note 2 2 2 3 4 2" xfId="1687"/>
    <cellStyle name="Note 2 2 2 3 5" xfId="1310"/>
    <cellStyle name="Note 2 2 2 3 5 2" xfId="1748"/>
    <cellStyle name="Note 2 2 2 3 6" xfId="1374"/>
    <cellStyle name="Note 2 2 2 3 6 2" xfId="1809"/>
    <cellStyle name="Note 2 2 2 3 7" xfId="1438"/>
    <cellStyle name="Note 2 2 2 3 7 2" xfId="1870"/>
    <cellStyle name="Note 2 2 2 3 8" xfId="1521"/>
    <cellStyle name="Note 2 2 2 4" xfId="1115"/>
    <cellStyle name="Note 2 2 2 4 2" xfId="1562"/>
    <cellStyle name="Note 2 2 2 5" xfId="1089"/>
    <cellStyle name="Note 2 2 2 5 2" xfId="1537"/>
    <cellStyle name="Note 2 2 2 6" xfId="1267"/>
    <cellStyle name="Note 2 2 2 6 2" xfId="1707"/>
    <cellStyle name="Note 2 2 2 7" xfId="1331"/>
    <cellStyle name="Note 2 2 2 7 2" xfId="1768"/>
    <cellStyle name="Note 2 2 2 8" xfId="1395"/>
    <cellStyle name="Note 2 2 2 8 2" xfId="1829"/>
    <cellStyle name="Note 2 2 2 9" xfId="1480"/>
    <cellStyle name="Note 2 2 3" xfId="1460"/>
    <cellStyle name="Note 2 3" xfId="970"/>
    <cellStyle name="Note 2 3 2" xfId="1030"/>
    <cellStyle name="Note 2 3 2 2" xfId="1052"/>
    <cellStyle name="Note 2 3 2 2 2" xfId="1138"/>
    <cellStyle name="Note 2 3 2 2 2 2" xfId="1584"/>
    <cellStyle name="Note 2 3 2 2 3" xfId="1181"/>
    <cellStyle name="Note 2 3 2 2 3 2" xfId="1625"/>
    <cellStyle name="Note 2 3 2 2 4" xfId="1226"/>
    <cellStyle name="Note 2 3 2 2 4 2" xfId="1668"/>
    <cellStyle name="Note 2 3 2 2 5" xfId="1290"/>
    <cellStyle name="Note 2 3 2 2 5 2" xfId="1729"/>
    <cellStyle name="Note 2 3 2 2 6" xfId="1354"/>
    <cellStyle name="Note 2 3 2 2 6 2" xfId="1790"/>
    <cellStyle name="Note 2 3 2 2 7" xfId="1418"/>
    <cellStyle name="Note 2 3 2 2 7 2" xfId="1851"/>
    <cellStyle name="Note 2 3 2 2 8" xfId="1502"/>
    <cellStyle name="Note 2 3 2 3" xfId="1073"/>
    <cellStyle name="Note 2 3 2 3 2" xfId="1159"/>
    <cellStyle name="Note 2 3 2 3 2 2" xfId="1604"/>
    <cellStyle name="Note 2 3 2 3 3" xfId="1202"/>
    <cellStyle name="Note 2 3 2 3 3 2" xfId="1645"/>
    <cellStyle name="Note 2 3 2 3 4" xfId="1247"/>
    <cellStyle name="Note 2 3 2 3 4 2" xfId="1688"/>
    <cellStyle name="Note 2 3 2 3 5" xfId="1311"/>
    <cellStyle name="Note 2 3 2 3 5 2" xfId="1749"/>
    <cellStyle name="Note 2 3 2 3 6" xfId="1375"/>
    <cellStyle name="Note 2 3 2 3 6 2" xfId="1810"/>
    <cellStyle name="Note 2 3 2 3 7" xfId="1439"/>
    <cellStyle name="Note 2 3 2 3 7 2" xfId="1871"/>
    <cellStyle name="Note 2 3 2 3 8" xfId="1522"/>
    <cellStyle name="Note 2 3 2 4" xfId="1116"/>
    <cellStyle name="Note 2 3 2 4 2" xfId="1563"/>
    <cellStyle name="Note 2 3 2 5" xfId="1090"/>
    <cellStyle name="Note 2 3 2 5 2" xfId="1538"/>
    <cellStyle name="Note 2 3 2 6" xfId="1268"/>
    <cellStyle name="Note 2 3 2 6 2" xfId="1708"/>
    <cellStyle name="Note 2 3 2 7" xfId="1332"/>
    <cellStyle name="Note 2 3 2 7 2" xfId="1769"/>
    <cellStyle name="Note 2 3 2 8" xfId="1396"/>
    <cellStyle name="Note 2 3 2 8 2" xfId="1830"/>
    <cellStyle name="Note 2 3 2 9" xfId="1481"/>
    <cellStyle name="Note 2 3 3" xfId="1461"/>
    <cellStyle name="Note 3" xfId="666"/>
    <cellStyle name="Note 3 2" xfId="971"/>
    <cellStyle name="Note 3 2 2" xfId="1031"/>
    <cellStyle name="Note 3 2 2 2" xfId="1053"/>
    <cellStyle name="Note 3 2 2 2 2" xfId="1139"/>
    <cellStyle name="Note 3 2 2 2 2 2" xfId="1585"/>
    <cellStyle name="Note 3 2 2 2 3" xfId="1182"/>
    <cellStyle name="Note 3 2 2 2 3 2" xfId="1626"/>
    <cellStyle name="Note 3 2 2 2 4" xfId="1227"/>
    <cellStyle name="Note 3 2 2 2 4 2" xfId="1669"/>
    <cellStyle name="Note 3 2 2 2 5" xfId="1291"/>
    <cellStyle name="Note 3 2 2 2 5 2" xfId="1730"/>
    <cellStyle name="Note 3 2 2 2 6" xfId="1355"/>
    <cellStyle name="Note 3 2 2 2 6 2" xfId="1791"/>
    <cellStyle name="Note 3 2 2 2 7" xfId="1419"/>
    <cellStyle name="Note 3 2 2 2 7 2" xfId="1852"/>
    <cellStyle name="Note 3 2 2 2 8" xfId="1503"/>
    <cellStyle name="Note 3 2 2 3" xfId="1074"/>
    <cellStyle name="Note 3 2 2 3 2" xfId="1160"/>
    <cellStyle name="Note 3 2 2 3 2 2" xfId="1605"/>
    <cellStyle name="Note 3 2 2 3 3" xfId="1203"/>
    <cellStyle name="Note 3 2 2 3 3 2" xfId="1646"/>
    <cellStyle name="Note 3 2 2 3 4" xfId="1248"/>
    <cellStyle name="Note 3 2 2 3 4 2" xfId="1689"/>
    <cellStyle name="Note 3 2 2 3 5" xfId="1312"/>
    <cellStyle name="Note 3 2 2 3 5 2" xfId="1750"/>
    <cellStyle name="Note 3 2 2 3 6" xfId="1376"/>
    <cellStyle name="Note 3 2 2 3 6 2" xfId="1811"/>
    <cellStyle name="Note 3 2 2 3 7" xfId="1440"/>
    <cellStyle name="Note 3 2 2 3 7 2" xfId="1872"/>
    <cellStyle name="Note 3 2 2 3 8" xfId="1523"/>
    <cellStyle name="Note 3 2 2 4" xfId="1117"/>
    <cellStyle name="Note 3 2 2 4 2" xfId="1564"/>
    <cellStyle name="Note 3 2 2 5" xfId="1091"/>
    <cellStyle name="Note 3 2 2 5 2" xfId="1539"/>
    <cellStyle name="Note 3 2 2 6" xfId="1269"/>
    <cellStyle name="Note 3 2 2 6 2" xfId="1709"/>
    <cellStyle name="Note 3 2 2 7" xfId="1333"/>
    <cellStyle name="Note 3 2 2 7 2" xfId="1770"/>
    <cellStyle name="Note 3 2 2 8" xfId="1397"/>
    <cellStyle name="Note 3 2 2 8 2" xfId="1831"/>
    <cellStyle name="Note 3 2 2 9" xfId="1482"/>
    <cellStyle name="Note 3 2 3" xfId="1462"/>
    <cellStyle name="Note 3 3" xfId="972"/>
    <cellStyle name="Note 3 3 2" xfId="1032"/>
    <cellStyle name="Note 3 3 2 2" xfId="1054"/>
    <cellStyle name="Note 3 3 2 2 2" xfId="1140"/>
    <cellStyle name="Note 3 3 2 2 2 2" xfId="1586"/>
    <cellStyle name="Note 3 3 2 2 3" xfId="1183"/>
    <cellStyle name="Note 3 3 2 2 3 2" xfId="1627"/>
    <cellStyle name="Note 3 3 2 2 4" xfId="1228"/>
    <cellStyle name="Note 3 3 2 2 4 2" xfId="1670"/>
    <cellStyle name="Note 3 3 2 2 5" xfId="1292"/>
    <cellStyle name="Note 3 3 2 2 5 2" xfId="1731"/>
    <cellStyle name="Note 3 3 2 2 6" xfId="1356"/>
    <cellStyle name="Note 3 3 2 2 6 2" xfId="1792"/>
    <cellStyle name="Note 3 3 2 2 7" xfId="1420"/>
    <cellStyle name="Note 3 3 2 2 7 2" xfId="1853"/>
    <cellStyle name="Note 3 3 2 2 8" xfId="1504"/>
    <cellStyle name="Note 3 3 2 3" xfId="1075"/>
    <cellStyle name="Note 3 3 2 3 2" xfId="1161"/>
    <cellStyle name="Note 3 3 2 3 2 2" xfId="1606"/>
    <cellStyle name="Note 3 3 2 3 3" xfId="1204"/>
    <cellStyle name="Note 3 3 2 3 3 2" xfId="1647"/>
    <cellStyle name="Note 3 3 2 3 4" xfId="1249"/>
    <cellStyle name="Note 3 3 2 3 4 2" xfId="1690"/>
    <cellStyle name="Note 3 3 2 3 5" xfId="1313"/>
    <cellStyle name="Note 3 3 2 3 5 2" xfId="1751"/>
    <cellStyle name="Note 3 3 2 3 6" xfId="1377"/>
    <cellStyle name="Note 3 3 2 3 6 2" xfId="1812"/>
    <cellStyle name="Note 3 3 2 3 7" xfId="1441"/>
    <cellStyle name="Note 3 3 2 3 7 2" xfId="1873"/>
    <cellStyle name="Note 3 3 2 3 8" xfId="1524"/>
    <cellStyle name="Note 3 3 2 4" xfId="1118"/>
    <cellStyle name="Note 3 3 2 4 2" xfId="1565"/>
    <cellStyle name="Note 3 3 2 5" xfId="1092"/>
    <cellStyle name="Note 3 3 2 5 2" xfId="1540"/>
    <cellStyle name="Note 3 3 2 6" xfId="1270"/>
    <cellStyle name="Note 3 3 2 6 2" xfId="1710"/>
    <cellStyle name="Note 3 3 2 7" xfId="1334"/>
    <cellStyle name="Note 3 3 2 7 2" xfId="1771"/>
    <cellStyle name="Note 3 3 2 8" xfId="1398"/>
    <cellStyle name="Note 3 3 2 8 2" xfId="1832"/>
    <cellStyle name="Note 3 3 2 9" xfId="1483"/>
    <cellStyle name="Note 3 3 3" xfId="1463"/>
    <cellStyle name="Note 4" xfId="667"/>
    <cellStyle name="Notes" xfId="476"/>
    <cellStyle name="Output 2" xfId="973"/>
    <cellStyle name="Output 2 2" xfId="974"/>
    <cellStyle name="Output 2 2 2" xfId="1033"/>
    <cellStyle name="Output 2 2 2 2" xfId="1055"/>
    <cellStyle name="Output 2 2 2 2 2" xfId="1141"/>
    <cellStyle name="Output 2 2 2 2 2 2" xfId="1587"/>
    <cellStyle name="Output 2 2 2 2 3" xfId="1184"/>
    <cellStyle name="Output 2 2 2 2 3 2" xfId="1628"/>
    <cellStyle name="Output 2 2 2 2 4" xfId="1229"/>
    <cellStyle name="Output 2 2 2 2 4 2" xfId="1671"/>
    <cellStyle name="Output 2 2 2 2 5" xfId="1293"/>
    <cellStyle name="Output 2 2 2 2 5 2" xfId="1732"/>
    <cellStyle name="Output 2 2 2 2 6" xfId="1357"/>
    <cellStyle name="Output 2 2 2 2 6 2" xfId="1793"/>
    <cellStyle name="Output 2 2 2 2 7" xfId="1421"/>
    <cellStyle name="Output 2 2 2 2 7 2" xfId="1854"/>
    <cellStyle name="Output 2 2 2 2 8" xfId="1505"/>
    <cellStyle name="Output 2 2 2 3" xfId="1076"/>
    <cellStyle name="Output 2 2 2 3 2" xfId="1162"/>
    <cellStyle name="Output 2 2 2 3 2 2" xfId="1607"/>
    <cellStyle name="Output 2 2 2 3 3" xfId="1205"/>
    <cellStyle name="Output 2 2 2 3 3 2" xfId="1648"/>
    <cellStyle name="Output 2 2 2 3 4" xfId="1250"/>
    <cellStyle name="Output 2 2 2 3 4 2" xfId="1691"/>
    <cellStyle name="Output 2 2 2 3 5" xfId="1314"/>
    <cellStyle name="Output 2 2 2 3 5 2" xfId="1752"/>
    <cellStyle name="Output 2 2 2 3 6" xfId="1378"/>
    <cellStyle name="Output 2 2 2 3 6 2" xfId="1813"/>
    <cellStyle name="Output 2 2 2 3 7" xfId="1442"/>
    <cellStyle name="Output 2 2 2 3 7 2" xfId="1874"/>
    <cellStyle name="Output 2 2 2 3 8" xfId="1525"/>
    <cellStyle name="Output 2 2 2 4" xfId="1119"/>
    <cellStyle name="Output 2 2 2 4 2" xfId="1566"/>
    <cellStyle name="Output 2 2 2 5" xfId="1093"/>
    <cellStyle name="Output 2 2 2 5 2" xfId="1541"/>
    <cellStyle name="Output 2 2 2 6" xfId="1271"/>
    <cellStyle name="Output 2 2 2 6 2" xfId="1711"/>
    <cellStyle name="Output 2 2 2 7" xfId="1335"/>
    <cellStyle name="Output 2 2 2 7 2" xfId="1772"/>
    <cellStyle name="Output 2 2 2 8" xfId="1399"/>
    <cellStyle name="Output 2 2 2 8 2" xfId="1833"/>
    <cellStyle name="Output 2 2 2 9" xfId="1484"/>
    <cellStyle name="Output 2 2 3" xfId="1464"/>
    <cellStyle name="Output 2 3" xfId="975"/>
    <cellStyle name="Output 2 3 2" xfId="1034"/>
    <cellStyle name="Output 2 3 2 2" xfId="1056"/>
    <cellStyle name="Output 2 3 2 2 2" xfId="1142"/>
    <cellStyle name="Output 2 3 2 2 2 2" xfId="1588"/>
    <cellStyle name="Output 2 3 2 2 3" xfId="1185"/>
    <cellStyle name="Output 2 3 2 2 3 2" xfId="1629"/>
    <cellStyle name="Output 2 3 2 2 4" xfId="1230"/>
    <cellStyle name="Output 2 3 2 2 4 2" xfId="1672"/>
    <cellStyle name="Output 2 3 2 2 5" xfId="1294"/>
    <cellStyle name="Output 2 3 2 2 5 2" xfId="1733"/>
    <cellStyle name="Output 2 3 2 2 6" xfId="1358"/>
    <cellStyle name="Output 2 3 2 2 6 2" xfId="1794"/>
    <cellStyle name="Output 2 3 2 2 7" xfId="1422"/>
    <cellStyle name="Output 2 3 2 2 7 2" xfId="1855"/>
    <cellStyle name="Output 2 3 2 2 8" xfId="1506"/>
    <cellStyle name="Output 2 3 2 3" xfId="1077"/>
    <cellStyle name="Output 2 3 2 3 2" xfId="1163"/>
    <cellStyle name="Output 2 3 2 3 2 2" xfId="1608"/>
    <cellStyle name="Output 2 3 2 3 3" xfId="1206"/>
    <cellStyle name="Output 2 3 2 3 3 2" xfId="1649"/>
    <cellStyle name="Output 2 3 2 3 4" xfId="1251"/>
    <cellStyle name="Output 2 3 2 3 4 2" xfId="1692"/>
    <cellStyle name="Output 2 3 2 3 5" xfId="1315"/>
    <cellStyle name="Output 2 3 2 3 5 2" xfId="1753"/>
    <cellStyle name="Output 2 3 2 3 6" xfId="1379"/>
    <cellStyle name="Output 2 3 2 3 6 2" xfId="1814"/>
    <cellStyle name="Output 2 3 2 3 7" xfId="1443"/>
    <cellStyle name="Output 2 3 2 3 7 2" xfId="1875"/>
    <cellStyle name="Output 2 3 2 3 8" xfId="1526"/>
    <cellStyle name="Output 2 3 2 4" xfId="1120"/>
    <cellStyle name="Output 2 3 2 4 2" xfId="1567"/>
    <cellStyle name="Output 2 3 2 5" xfId="1094"/>
    <cellStyle name="Output 2 3 2 5 2" xfId="1542"/>
    <cellStyle name="Output 2 3 2 6" xfId="1272"/>
    <cellStyle name="Output 2 3 2 6 2" xfId="1712"/>
    <cellStyle name="Output 2 3 2 7" xfId="1336"/>
    <cellStyle name="Output 2 3 2 7 2" xfId="1773"/>
    <cellStyle name="Output 2 3 2 8" xfId="1400"/>
    <cellStyle name="Output 2 3 2 8 2" xfId="1834"/>
    <cellStyle name="Output 2 3 2 9" xfId="1485"/>
    <cellStyle name="Output 2 3 3" xfId="1465"/>
    <cellStyle name="Output 3 2" xfId="976"/>
    <cellStyle name="Output 3 2 2" xfId="1035"/>
    <cellStyle name="Output 3 2 2 2" xfId="1057"/>
    <cellStyle name="Output 3 2 2 2 2" xfId="1143"/>
    <cellStyle name="Output 3 2 2 2 2 2" xfId="1589"/>
    <cellStyle name="Output 3 2 2 2 3" xfId="1186"/>
    <cellStyle name="Output 3 2 2 2 3 2" xfId="1630"/>
    <cellStyle name="Output 3 2 2 2 4" xfId="1231"/>
    <cellStyle name="Output 3 2 2 2 4 2" xfId="1673"/>
    <cellStyle name="Output 3 2 2 2 5" xfId="1295"/>
    <cellStyle name="Output 3 2 2 2 5 2" xfId="1734"/>
    <cellStyle name="Output 3 2 2 2 6" xfId="1359"/>
    <cellStyle name="Output 3 2 2 2 6 2" xfId="1795"/>
    <cellStyle name="Output 3 2 2 2 7" xfId="1423"/>
    <cellStyle name="Output 3 2 2 2 7 2" xfId="1856"/>
    <cellStyle name="Output 3 2 2 2 8" xfId="1507"/>
    <cellStyle name="Output 3 2 2 3" xfId="1078"/>
    <cellStyle name="Output 3 2 2 3 2" xfId="1164"/>
    <cellStyle name="Output 3 2 2 3 2 2" xfId="1609"/>
    <cellStyle name="Output 3 2 2 3 3" xfId="1207"/>
    <cellStyle name="Output 3 2 2 3 3 2" xfId="1650"/>
    <cellStyle name="Output 3 2 2 3 4" xfId="1252"/>
    <cellStyle name="Output 3 2 2 3 4 2" xfId="1693"/>
    <cellStyle name="Output 3 2 2 3 5" xfId="1316"/>
    <cellStyle name="Output 3 2 2 3 5 2" xfId="1754"/>
    <cellStyle name="Output 3 2 2 3 6" xfId="1380"/>
    <cellStyle name="Output 3 2 2 3 6 2" xfId="1815"/>
    <cellStyle name="Output 3 2 2 3 7" xfId="1444"/>
    <cellStyle name="Output 3 2 2 3 7 2" xfId="1876"/>
    <cellStyle name="Output 3 2 2 3 8" xfId="1527"/>
    <cellStyle name="Output 3 2 2 4" xfId="1121"/>
    <cellStyle name="Output 3 2 2 4 2" xfId="1568"/>
    <cellStyle name="Output 3 2 2 5" xfId="1102"/>
    <cellStyle name="Output 3 2 2 5 2" xfId="1550"/>
    <cellStyle name="Output 3 2 2 6" xfId="1273"/>
    <cellStyle name="Output 3 2 2 6 2" xfId="1713"/>
    <cellStyle name="Output 3 2 2 7" xfId="1337"/>
    <cellStyle name="Output 3 2 2 7 2" xfId="1774"/>
    <cellStyle name="Output 3 2 2 8" xfId="1401"/>
    <cellStyle name="Output 3 2 2 8 2" xfId="1835"/>
    <cellStyle name="Output 3 2 2 9" xfId="1486"/>
    <cellStyle name="Output 3 2 3" xfId="1466"/>
    <cellStyle name="Output 3 3" xfId="977"/>
    <cellStyle name="Output 3 3 2" xfId="1036"/>
    <cellStyle name="Output 3 3 2 2" xfId="1058"/>
    <cellStyle name="Output 3 3 2 2 2" xfId="1144"/>
    <cellStyle name="Output 3 3 2 2 2 2" xfId="1590"/>
    <cellStyle name="Output 3 3 2 2 3" xfId="1187"/>
    <cellStyle name="Output 3 3 2 2 3 2" xfId="1631"/>
    <cellStyle name="Output 3 3 2 2 4" xfId="1232"/>
    <cellStyle name="Output 3 3 2 2 4 2" xfId="1674"/>
    <cellStyle name="Output 3 3 2 2 5" xfId="1296"/>
    <cellStyle name="Output 3 3 2 2 5 2" xfId="1735"/>
    <cellStyle name="Output 3 3 2 2 6" xfId="1360"/>
    <cellStyle name="Output 3 3 2 2 6 2" xfId="1796"/>
    <cellStyle name="Output 3 3 2 2 7" xfId="1424"/>
    <cellStyle name="Output 3 3 2 2 7 2" xfId="1857"/>
    <cellStyle name="Output 3 3 2 2 8" xfId="1508"/>
    <cellStyle name="Output 3 3 2 3" xfId="1079"/>
    <cellStyle name="Output 3 3 2 3 2" xfId="1165"/>
    <cellStyle name="Output 3 3 2 3 2 2" xfId="1610"/>
    <cellStyle name="Output 3 3 2 3 3" xfId="1208"/>
    <cellStyle name="Output 3 3 2 3 3 2" xfId="1651"/>
    <cellStyle name="Output 3 3 2 3 4" xfId="1253"/>
    <cellStyle name="Output 3 3 2 3 4 2" xfId="1694"/>
    <cellStyle name="Output 3 3 2 3 5" xfId="1317"/>
    <cellStyle name="Output 3 3 2 3 5 2" xfId="1755"/>
    <cellStyle name="Output 3 3 2 3 6" xfId="1381"/>
    <cellStyle name="Output 3 3 2 3 6 2" xfId="1816"/>
    <cellStyle name="Output 3 3 2 3 7" xfId="1445"/>
    <cellStyle name="Output 3 3 2 3 7 2" xfId="1877"/>
    <cellStyle name="Output 3 3 2 3 8" xfId="1528"/>
    <cellStyle name="Output 3 3 2 4" xfId="1122"/>
    <cellStyle name="Output 3 3 2 4 2" xfId="1569"/>
    <cellStyle name="Output 3 3 2 5" xfId="1103"/>
    <cellStyle name="Output 3 3 2 5 2" xfId="1551"/>
    <cellStyle name="Output 3 3 2 6" xfId="1274"/>
    <cellStyle name="Output 3 3 2 6 2" xfId="1714"/>
    <cellStyle name="Output 3 3 2 7" xfId="1338"/>
    <cellStyle name="Output 3 3 2 7 2" xfId="1775"/>
    <cellStyle name="Output 3 3 2 8" xfId="1402"/>
    <cellStyle name="Output 3 3 2 8 2" xfId="1836"/>
    <cellStyle name="Output 3 3 2 9" xfId="1487"/>
    <cellStyle name="Output 3 3 3" xfId="1467"/>
    <cellStyle name="Output Amounts" xfId="477"/>
    <cellStyle name="Output Column Headings" xfId="478"/>
    <cellStyle name="Output Line Items" xfId="479"/>
    <cellStyle name="Output Report Heading" xfId="480"/>
    <cellStyle name="Output Report Title" xfId="481"/>
    <cellStyle name="Percent" xfId="3" builtinId="5"/>
    <cellStyle name="Percent [2]" xfId="668"/>
    <cellStyle name="Percent [2] 2" xfId="978"/>
    <cellStyle name="Percent [2] 3" xfId="979"/>
    <cellStyle name="Percent [2] 4" xfId="980"/>
    <cellStyle name="Percent 10" xfId="482"/>
    <cellStyle name="Percent 11" xfId="483"/>
    <cellStyle name="Percent 12" xfId="484"/>
    <cellStyle name="Percent 13" xfId="485"/>
    <cellStyle name="Percent 14" xfId="981"/>
    <cellStyle name="Percent 15" xfId="58"/>
    <cellStyle name="Percent 16" xfId="1887"/>
    <cellStyle name="Percent 2" xfId="5"/>
    <cellStyle name="Percent 2 2" xfId="487"/>
    <cellStyle name="Percent 2 2 2" xfId="488"/>
    <cellStyle name="Percent 2 2 3" xfId="489"/>
    <cellStyle name="Percent 2 3" xfId="486"/>
    <cellStyle name="Percent 2 4" xfId="61"/>
    <cellStyle name="Percent 3" xfId="9"/>
    <cellStyle name="Percent 3 2" xfId="45"/>
    <cellStyle name="Percent 3 2 2" xfId="982"/>
    <cellStyle name="Percent 3 3" xfId="37"/>
    <cellStyle name="Percent 3 4" xfId="63"/>
    <cellStyle name="Percent 4" xfId="31"/>
    <cellStyle name="Percent 4 2" xfId="47"/>
    <cellStyle name="Percent 4 2 2" xfId="983"/>
    <cellStyle name="Percent 4 3" xfId="39"/>
    <cellStyle name="Percent 4 4" xfId="490"/>
    <cellStyle name="Percent 5" xfId="33"/>
    <cellStyle name="Percent 5 2" xfId="49"/>
    <cellStyle name="Percent 5 2 2" xfId="984"/>
    <cellStyle name="Percent 5 3" xfId="41"/>
    <cellStyle name="Percent 5 4" xfId="491"/>
    <cellStyle name="Percent 6" xfId="35"/>
    <cellStyle name="Percent 6 2" xfId="51"/>
    <cellStyle name="Percent 6 3" xfId="43"/>
    <cellStyle name="Percent 6 4" xfId="492"/>
    <cellStyle name="Percent 7" xfId="493"/>
    <cellStyle name="Percent 8" xfId="494"/>
    <cellStyle name="Percent 9" xfId="495"/>
    <cellStyle name="Percent(1)" xfId="496"/>
    <cellStyle name="Percent(1) 2" xfId="497"/>
    <cellStyle name="Percent(1) 3" xfId="498"/>
    <cellStyle name="Percent(2)" xfId="499"/>
    <cellStyle name="Percent(2) 2" xfId="500"/>
    <cellStyle name="Percent(2) 3" xfId="501"/>
    <cellStyle name="Print" xfId="502"/>
    <cellStyle name="PRM" xfId="503"/>
    <cellStyle name="PRM 10" xfId="504"/>
    <cellStyle name="PRM 11" xfId="505"/>
    <cellStyle name="PRM 12" xfId="506"/>
    <cellStyle name="PRM 13" xfId="507"/>
    <cellStyle name="PRM 14" xfId="508"/>
    <cellStyle name="PRM 15" xfId="509"/>
    <cellStyle name="PRM 16" xfId="510"/>
    <cellStyle name="PRM 17" xfId="511"/>
    <cellStyle name="PRM 18" xfId="512"/>
    <cellStyle name="PRM 19" xfId="513"/>
    <cellStyle name="PRM 2" xfId="514"/>
    <cellStyle name="PRM 20" xfId="515"/>
    <cellStyle name="PRM 21" xfId="516"/>
    <cellStyle name="PRM 22" xfId="517"/>
    <cellStyle name="PRM 23" xfId="518"/>
    <cellStyle name="PRM 24" xfId="519"/>
    <cellStyle name="PRM 25" xfId="520"/>
    <cellStyle name="PRM 26" xfId="521"/>
    <cellStyle name="PRM 27" xfId="522"/>
    <cellStyle name="PRM 28" xfId="523"/>
    <cellStyle name="PRM 29" xfId="524"/>
    <cellStyle name="PRM 3" xfId="525"/>
    <cellStyle name="PRM 30" xfId="526"/>
    <cellStyle name="PRM 31" xfId="527"/>
    <cellStyle name="PRM 32" xfId="528"/>
    <cellStyle name="PRM 33" xfId="529"/>
    <cellStyle name="PRM 34" xfId="530"/>
    <cellStyle name="PRM 35" xfId="531"/>
    <cellStyle name="PRM 36" xfId="532"/>
    <cellStyle name="PRM 37" xfId="533"/>
    <cellStyle name="PRM 38" xfId="534"/>
    <cellStyle name="PRM 39" xfId="535"/>
    <cellStyle name="PRM 4" xfId="536"/>
    <cellStyle name="PRM 40" xfId="537"/>
    <cellStyle name="PRM 41" xfId="538"/>
    <cellStyle name="PRM 42" xfId="539"/>
    <cellStyle name="PRM 43" xfId="540"/>
    <cellStyle name="PRM 44" xfId="541"/>
    <cellStyle name="PRM 45" xfId="542"/>
    <cellStyle name="PRM 46" xfId="543"/>
    <cellStyle name="PRM 47" xfId="544"/>
    <cellStyle name="PRM 48" xfId="545"/>
    <cellStyle name="PRM 49" xfId="669"/>
    <cellStyle name="PRM 5" xfId="546"/>
    <cellStyle name="PRM 50" xfId="670"/>
    <cellStyle name="PRM 6" xfId="547"/>
    <cellStyle name="PRM 7" xfId="548"/>
    <cellStyle name="PRM 8" xfId="549"/>
    <cellStyle name="PRM 9" xfId="550"/>
    <cellStyle name="PRM_ACCT" xfId="551"/>
    <cellStyle name="PSChar" xfId="552"/>
    <cellStyle name="PSChar 2" xfId="553"/>
    <cellStyle name="PSChar 2 2" xfId="554"/>
    <cellStyle name="PSChar 2 3" xfId="555"/>
    <cellStyle name="PSChar 3" xfId="556"/>
    <cellStyle name="PSChar 3 2" xfId="557"/>
    <cellStyle name="PSChar 3 3" xfId="558"/>
    <cellStyle name="PSChar 4" xfId="559"/>
    <cellStyle name="PSChar 4 2" xfId="560"/>
    <cellStyle name="PSChar 4 3" xfId="561"/>
    <cellStyle name="PSChar 5" xfId="562"/>
    <cellStyle name="PSDate" xfId="563"/>
    <cellStyle name="PSDec" xfId="564"/>
    <cellStyle name="PSHeading" xfId="565"/>
    <cellStyle name="PSHeading 2" xfId="566"/>
    <cellStyle name="PSHeading 2 2" xfId="1451"/>
    <cellStyle name="PSHeading 3" xfId="1450"/>
    <cellStyle name="PSHeading_CPT" xfId="567"/>
    <cellStyle name="PSInt" xfId="568"/>
    <cellStyle name="PSSpacer" xfId="569"/>
    <cellStyle name="Save" xfId="570"/>
    <cellStyle name="Style 21" xfId="985"/>
    <cellStyle name="Style 22" xfId="986"/>
    <cellStyle name="Style 23" xfId="987"/>
    <cellStyle name="Style 24" xfId="988"/>
    <cellStyle name="Style 25" xfId="989"/>
    <cellStyle name="Style 26" xfId="990"/>
    <cellStyle name="Style 27" xfId="991"/>
    <cellStyle name="Style 28" xfId="992"/>
    <cellStyle name="Style 29" xfId="993"/>
    <cellStyle name="Style 30" xfId="994"/>
    <cellStyle name="Style 31" xfId="995"/>
    <cellStyle name="Style 32" xfId="996"/>
    <cellStyle name="Text_Bold" xfId="571"/>
    <cellStyle name="Title 2" xfId="997"/>
    <cellStyle name="Title 2 2" xfId="998"/>
    <cellStyle name="Title 2 3" xfId="999"/>
    <cellStyle name="Title 3 2" xfId="1000"/>
    <cellStyle name="Title 3 3" xfId="1001"/>
    <cellStyle name="Title12" xfId="572"/>
    <cellStyle name="Title12 10" xfId="573"/>
    <cellStyle name="Title12 11" xfId="574"/>
    <cellStyle name="Title12 12" xfId="575"/>
    <cellStyle name="Title12 13" xfId="576"/>
    <cellStyle name="Title12 14" xfId="577"/>
    <cellStyle name="Title12 15" xfId="578"/>
    <cellStyle name="Title12 16" xfId="579"/>
    <cellStyle name="Title12 17" xfId="580"/>
    <cellStyle name="Title12 18" xfId="581"/>
    <cellStyle name="Title12 19" xfId="582"/>
    <cellStyle name="Title12 2" xfId="583"/>
    <cellStyle name="Title12 20" xfId="584"/>
    <cellStyle name="Title12 21" xfId="585"/>
    <cellStyle name="Title12 22" xfId="586"/>
    <cellStyle name="Title12 23" xfId="587"/>
    <cellStyle name="Title12 24" xfId="588"/>
    <cellStyle name="Title12 25" xfId="589"/>
    <cellStyle name="Title12 26" xfId="590"/>
    <cellStyle name="Title12 27" xfId="591"/>
    <cellStyle name="Title12 28" xfId="592"/>
    <cellStyle name="Title12 29" xfId="593"/>
    <cellStyle name="Title12 3" xfId="594"/>
    <cellStyle name="Title12 30" xfId="595"/>
    <cellStyle name="Title12 31" xfId="596"/>
    <cellStyle name="Title12 32" xfId="597"/>
    <cellStyle name="Title12 33" xfId="598"/>
    <cellStyle name="Title12 34" xfId="599"/>
    <cellStyle name="Title12 35" xfId="600"/>
    <cellStyle name="Title12 36" xfId="601"/>
    <cellStyle name="Title12 37" xfId="602"/>
    <cellStyle name="Title12 38" xfId="603"/>
    <cellStyle name="Title12 39" xfId="604"/>
    <cellStyle name="Title12 4" xfId="605"/>
    <cellStyle name="Title12 40" xfId="606"/>
    <cellStyle name="Title12 41" xfId="607"/>
    <cellStyle name="Title12 42" xfId="608"/>
    <cellStyle name="Title12 43" xfId="609"/>
    <cellStyle name="Title12 44" xfId="610"/>
    <cellStyle name="Title12 45" xfId="611"/>
    <cellStyle name="Title12 46" xfId="612"/>
    <cellStyle name="Title12 47" xfId="613"/>
    <cellStyle name="Title12 48" xfId="614"/>
    <cellStyle name="Title12 49" xfId="671"/>
    <cellStyle name="Title12 5" xfId="615"/>
    <cellStyle name="Title12 50" xfId="672"/>
    <cellStyle name="Title12 6" xfId="616"/>
    <cellStyle name="Title12 7" xfId="617"/>
    <cellStyle name="Title12 8" xfId="618"/>
    <cellStyle name="Title12 9" xfId="619"/>
    <cellStyle name="Title12_ACCT" xfId="620"/>
    <cellStyle name="Title3" xfId="621"/>
    <cellStyle name="Total 2" xfId="673"/>
    <cellStyle name="Total 2 2" xfId="1002"/>
    <cellStyle name="Total 2 2 2" xfId="1037"/>
    <cellStyle name="Total 2 2 2 2" xfId="1059"/>
    <cellStyle name="Total 2 2 2 2 2" xfId="1145"/>
    <cellStyle name="Total 2 2 2 2 2 2" xfId="1591"/>
    <cellStyle name="Total 2 2 2 2 3" xfId="1188"/>
    <cellStyle name="Total 2 2 2 2 3 2" xfId="1632"/>
    <cellStyle name="Total 2 2 2 2 4" xfId="1233"/>
    <cellStyle name="Total 2 2 2 2 4 2" xfId="1675"/>
    <cellStyle name="Total 2 2 2 2 5" xfId="1297"/>
    <cellStyle name="Total 2 2 2 2 5 2" xfId="1736"/>
    <cellStyle name="Total 2 2 2 2 6" xfId="1361"/>
    <cellStyle name="Total 2 2 2 2 6 2" xfId="1797"/>
    <cellStyle name="Total 2 2 2 2 7" xfId="1425"/>
    <cellStyle name="Total 2 2 2 2 7 2" xfId="1858"/>
    <cellStyle name="Total 2 2 2 2 8" xfId="1509"/>
    <cellStyle name="Total 2 2 2 3" xfId="1080"/>
    <cellStyle name="Total 2 2 2 3 2" xfId="1166"/>
    <cellStyle name="Total 2 2 2 3 2 2" xfId="1611"/>
    <cellStyle name="Total 2 2 2 3 3" xfId="1209"/>
    <cellStyle name="Total 2 2 2 3 3 2" xfId="1652"/>
    <cellStyle name="Total 2 2 2 3 4" xfId="1254"/>
    <cellStyle name="Total 2 2 2 3 4 2" xfId="1695"/>
    <cellStyle name="Total 2 2 2 3 5" xfId="1318"/>
    <cellStyle name="Total 2 2 2 3 5 2" xfId="1756"/>
    <cellStyle name="Total 2 2 2 3 6" xfId="1382"/>
    <cellStyle name="Total 2 2 2 3 6 2" xfId="1817"/>
    <cellStyle name="Total 2 2 2 3 7" xfId="1446"/>
    <cellStyle name="Total 2 2 2 3 7 2" xfId="1878"/>
    <cellStyle name="Total 2 2 2 3 8" xfId="1529"/>
    <cellStyle name="Total 2 2 2 4" xfId="1123"/>
    <cellStyle name="Total 2 2 2 4 2" xfId="1570"/>
    <cellStyle name="Total 2 2 2 5" xfId="1104"/>
    <cellStyle name="Total 2 2 2 5 2" xfId="1552"/>
    <cellStyle name="Total 2 2 2 6" xfId="1275"/>
    <cellStyle name="Total 2 2 2 6 2" xfId="1715"/>
    <cellStyle name="Total 2 2 2 7" xfId="1339"/>
    <cellStyle name="Total 2 2 2 7 2" xfId="1776"/>
    <cellStyle name="Total 2 2 2 8" xfId="1403"/>
    <cellStyle name="Total 2 2 2 8 2" xfId="1837"/>
    <cellStyle name="Total 2 2 2 9" xfId="1488"/>
    <cellStyle name="Total 2 2 3" xfId="1468"/>
    <cellStyle name="Total 2 3" xfId="1003"/>
    <cellStyle name="Total 2 3 2" xfId="1038"/>
    <cellStyle name="Total 2 3 2 2" xfId="1060"/>
    <cellStyle name="Total 2 3 2 2 2" xfId="1146"/>
    <cellStyle name="Total 2 3 2 2 2 2" xfId="1592"/>
    <cellStyle name="Total 2 3 2 2 3" xfId="1189"/>
    <cellStyle name="Total 2 3 2 2 3 2" xfId="1633"/>
    <cellStyle name="Total 2 3 2 2 4" xfId="1234"/>
    <cellStyle name="Total 2 3 2 2 4 2" xfId="1676"/>
    <cellStyle name="Total 2 3 2 2 5" xfId="1298"/>
    <cellStyle name="Total 2 3 2 2 5 2" xfId="1737"/>
    <cellStyle name="Total 2 3 2 2 6" xfId="1362"/>
    <cellStyle name="Total 2 3 2 2 6 2" xfId="1798"/>
    <cellStyle name="Total 2 3 2 2 7" xfId="1426"/>
    <cellStyle name="Total 2 3 2 2 7 2" xfId="1859"/>
    <cellStyle name="Total 2 3 2 2 8" xfId="1510"/>
    <cellStyle name="Total 2 3 2 3" xfId="1081"/>
    <cellStyle name="Total 2 3 2 3 2" xfId="1167"/>
    <cellStyle name="Total 2 3 2 3 2 2" xfId="1612"/>
    <cellStyle name="Total 2 3 2 3 3" xfId="1210"/>
    <cellStyle name="Total 2 3 2 3 3 2" xfId="1653"/>
    <cellStyle name="Total 2 3 2 3 4" xfId="1255"/>
    <cellStyle name="Total 2 3 2 3 4 2" xfId="1696"/>
    <cellStyle name="Total 2 3 2 3 5" xfId="1319"/>
    <cellStyle name="Total 2 3 2 3 5 2" xfId="1757"/>
    <cellStyle name="Total 2 3 2 3 6" xfId="1383"/>
    <cellStyle name="Total 2 3 2 3 6 2" xfId="1818"/>
    <cellStyle name="Total 2 3 2 3 7" xfId="1447"/>
    <cellStyle name="Total 2 3 2 3 7 2" xfId="1879"/>
    <cellStyle name="Total 2 3 2 3 8" xfId="1530"/>
    <cellStyle name="Total 2 3 2 4" xfId="1124"/>
    <cellStyle name="Total 2 3 2 4 2" xfId="1571"/>
    <cellStyle name="Total 2 3 2 5" xfId="1095"/>
    <cellStyle name="Total 2 3 2 5 2" xfId="1543"/>
    <cellStyle name="Total 2 3 2 6" xfId="1276"/>
    <cellStyle name="Total 2 3 2 6 2" xfId="1716"/>
    <cellStyle name="Total 2 3 2 7" xfId="1340"/>
    <cellStyle name="Total 2 3 2 7 2" xfId="1777"/>
    <cellStyle name="Total 2 3 2 8" xfId="1404"/>
    <cellStyle name="Total 2 3 2 8 2" xfId="1838"/>
    <cellStyle name="Total 2 3 2 9" xfId="1489"/>
    <cellStyle name="Total 2 3 3" xfId="1469"/>
    <cellStyle name="Total 3" xfId="674"/>
    <cellStyle name="Total 3 2" xfId="1004"/>
    <cellStyle name="Total 3 2 2" xfId="1039"/>
    <cellStyle name="Total 3 2 2 2" xfId="1061"/>
    <cellStyle name="Total 3 2 2 2 2" xfId="1147"/>
    <cellStyle name="Total 3 2 2 2 2 2" xfId="1593"/>
    <cellStyle name="Total 3 2 2 2 3" xfId="1190"/>
    <cellStyle name="Total 3 2 2 2 3 2" xfId="1634"/>
    <cellStyle name="Total 3 2 2 2 4" xfId="1235"/>
    <cellStyle name="Total 3 2 2 2 4 2" xfId="1677"/>
    <cellStyle name="Total 3 2 2 2 5" xfId="1299"/>
    <cellStyle name="Total 3 2 2 2 5 2" xfId="1738"/>
    <cellStyle name="Total 3 2 2 2 6" xfId="1363"/>
    <cellStyle name="Total 3 2 2 2 6 2" xfId="1799"/>
    <cellStyle name="Total 3 2 2 2 7" xfId="1427"/>
    <cellStyle name="Total 3 2 2 2 7 2" xfId="1860"/>
    <cellStyle name="Total 3 2 2 2 8" xfId="1511"/>
    <cellStyle name="Total 3 2 2 3" xfId="1082"/>
    <cellStyle name="Total 3 2 2 3 2" xfId="1168"/>
    <cellStyle name="Total 3 2 2 3 2 2" xfId="1613"/>
    <cellStyle name="Total 3 2 2 3 3" xfId="1211"/>
    <cellStyle name="Total 3 2 2 3 3 2" xfId="1654"/>
    <cellStyle name="Total 3 2 2 3 4" xfId="1256"/>
    <cellStyle name="Total 3 2 2 3 4 2" xfId="1697"/>
    <cellStyle name="Total 3 2 2 3 5" xfId="1320"/>
    <cellStyle name="Total 3 2 2 3 5 2" xfId="1758"/>
    <cellStyle name="Total 3 2 2 3 6" xfId="1384"/>
    <cellStyle name="Total 3 2 2 3 6 2" xfId="1819"/>
    <cellStyle name="Total 3 2 2 3 7" xfId="1448"/>
    <cellStyle name="Total 3 2 2 3 7 2" xfId="1880"/>
    <cellStyle name="Total 3 2 2 3 8" xfId="1531"/>
    <cellStyle name="Total 3 2 2 4" xfId="1125"/>
    <cellStyle name="Total 3 2 2 4 2" xfId="1572"/>
    <cellStyle name="Total 3 2 2 5" xfId="1213"/>
    <cellStyle name="Total 3 2 2 5 2" xfId="1656"/>
    <cellStyle name="Total 3 2 2 6" xfId="1277"/>
    <cellStyle name="Total 3 2 2 6 2" xfId="1717"/>
    <cellStyle name="Total 3 2 2 7" xfId="1341"/>
    <cellStyle name="Total 3 2 2 7 2" xfId="1778"/>
    <cellStyle name="Total 3 2 2 8" xfId="1405"/>
    <cellStyle name="Total 3 2 2 8 2" xfId="1839"/>
    <cellStyle name="Total 3 2 2 9" xfId="1490"/>
    <cellStyle name="Total 3 2 3" xfId="1470"/>
    <cellStyle name="Total 3 3" xfId="1005"/>
    <cellStyle name="Total 3 3 2" xfId="1040"/>
    <cellStyle name="Total 3 3 2 2" xfId="1062"/>
    <cellStyle name="Total 3 3 2 2 2" xfId="1148"/>
    <cellStyle name="Total 3 3 2 2 2 2" xfId="1594"/>
    <cellStyle name="Total 3 3 2 2 3" xfId="1191"/>
    <cellStyle name="Total 3 3 2 2 3 2" xfId="1635"/>
    <cellStyle name="Total 3 3 2 2 4" xfId="1236"/>
    <cellStyle name="Total 3 3 2 2 4 2" xfId="1678"/>
    <cellStyle name="Total 3 3 2 2 5" xfId="1300"/>
    <cellStyle name="Total 3 3 2 2 5 2" xfId="1739"/>
    <cellStyle name="Total 3 3 2 2 6" xfId="1364"/>
    <cellStyle name="Total 3 3 2 2 6 2" xfId="1800"/>
    <cellStyle name="Total 3 3 2 2 7" xfId="1428"/>
    <cellStyle name="Total 3 3 2 2 7 2" xfId="1861"/>
    <cellStyle name="Total 3 3 2 2 8" xfId="1512"/>
    <cellStyle name="Total 3 3 2 3" xfId="1083"/>
    <cellStyle name="Total 3 3 2 3 2" xfId="1169"/>
    <cellStyle name="Total 3 3 2 3 2 2" xfId="1614"/>
    <cellStyle name="Total 3 3 2 3 3" xfId="1212"/>
    <cellStyle name="Total 3 3 2 3 3 2" xfId="1655"/>
    <cellStyle name="Total 3 3 2 3 4" xfId="1257"/>
    <cellStyle name="Total 3 3 2 3 4 2" xfId="1698"/>
    <cellStyle name="Total 3 3 2 3 5" xfId="1321"/>
    <cellStyle name="Total 3 3 2 3 5 2" xfId="1759"/>
    <cellStyle name="Total 3 3 2 3 6" xfId="1385"/>
    <cellStyle name="Total 3 3 2 3 6 2" xfId="1820"/>
    <cellStyle name="Total 3 3 2 3 7" xfId="1449"/>
    <cellStyle name="Total 3 3 2 3 7 2" xfId="1881"/>
    <cellStyle name="Total 3 3 2 3 8" xfId="1532"/>
    <cellStyle name="Total 3 3 2 4" xfId="1126"/>
    <cellStyle name="Total 3 3 2 4 2" xfId="1573"/>
    <cellStyle name="Total 3 3 2 5" xfId="1214"/>
    <cellStyle name="Total 3 3 2 5 2" xfId="1657"/>
    <cellStyle name="Total 3 3 2 6" xfId="1278"/>
    <cellStyle name="Total 3 3 2 6 2" xfId="1718"/>
    <cellStyle name="Total 3 3 2 7" xfId="1342"/>
    <cellStyle name="Total 3 3 2 7 2" xfId="1779"/>
    <cellStyle name="Total 3 3 2 8" xfId="1406"/>
    <cellStyle name="Total 3 3 2 8 2" xfId="1840"/>
    <cellStyle name="Total 3 3 2 9" xfId="1491"/>
    <cellStyle name="Total 3 3 3" xfId="1471"/>
    <cellStyle name="Total 4" xfId="675"/>
    <cellStyle name="Total 5" xfId="1006"/>
    <cellStyle name="Tusental (0)_laroux" xfId="676"/>
    <cellStyle name="Tusental_laroux" xfId="677"/>
    <cellStyle name="Valuta (0)_laroux" xfId="678"/>
    <cellStyle name="Valuta_laroux" xfId="679"/>
    <cellStyle name="Warning Text 2 2" xfId="1007"/>
    <cellStyle name="Warning Text 2 3" xfId="1008"/>
    <cellStyle name="Warning Text 3 2" xfId="1009"/>
    <cellStyle name="Warning Text 3 3" xfId="10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Committees\Committee%20Website\Proforma_Residents_FY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FY%2018%20model\Physician\MGMA%203%20Year%20AVG%20wRVU%20and%20Low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FY21 Rates"/>
      <sheetName val="Calculations"/>
      <sheetName val="Proforma Draft 1"/>
      <sheetName val="Reimb Detail"/>
      <sheetName val="Hours"/>
      <sheetName val="Open Spons"/>
      <sheetName val="Lists"/>
      <sheetName val="FY19 Specialty"/>
      <sheetName val="FY20 Specialty"/>
      <sheetName val="FY20 wRVU Changes"/>
      <sheetName val="Specialty Lookup"/>
      <sheetName val="Count of Providers as of 1.18"/>
      <sheetName val="Peds Boost"/>
      <sheetName val="Count of Providers as of Jan 18"/>
      <sheetName val="Low 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&lt;Select&gt;</v>
          </cell>
        </row>
        <row r="3">
          <cell r="A3" t="str">
            <v>Dean's Funds</v>
          </cell>
        </row>
        <row r="4">
          <cell r="A4" t="str">
            <v>Enterprise Funds</v>
          </cell>
        </row>
        <row r="5">
          <cell r="A5" t="str">
            <v>Department Role</v>
          </cell>
        </row>
        <row r="6">
          <cell r="A6" t="str">
            <v>Education Role</v>
          </cell>
        </row>
        <row r="7">
          <cell r="A7" t="str">
            <v>Hospital Contracts</v>
          </cell>
        </row>
        <row r="8">
          <cell r="A8" t="str">
            <v>Contracts &amp; Grants</v>
          </cell>
        </row>
        <row r="9">
          <cell r="A9" t="str">
            <v>Outside Contracts</v>
          </cell>
        </row>
        <row r="10">
          <cell r="A10" t="str">
            <v>External Dept</v>
          </cell>
        </row>
        <row r="11">
          <cell r="A11" t="str">
            <v>UCRF</v>
          </cell>
        </row>
        <row r="12">
          <cell r="A12" t="str">
            <v>Other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MA 3 Year AVG wRVU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>
        <row r="1">
          <cell r="B1" t="str">
            <v>MGMA Specialty</v>
          </cell>
          <cell r="C1" t="str">
            <v>Group Count</v>
          </cell>
          <cell r="D1" t="str">
            <v>Provider Count</v>
          </cell>
          <cell r="E1" t="str">
            <v>MGMA wRVU Mean</v>
          </cell>
          <cell r="F1" t="str">
            <v>MGMA wRVU Std Dev</v>
          </cell>
          <cell r="G1" t="str">
            <v>MGMA wRVU 10th %tile</v>
          </cell>
          <cell r="H1" t="str">
            <v>MGMA wRVU 25th %tile</v>
          </cell>
          <cell r="I1" t="str">
            <v>MGMA wRVU Median</v>
          </cell>
        </row>
        <row r="2">
          <cell r="B2" t="str">
            <v>Allergy/Immunology</v>
          </cell>
          <cell r="C2">
            <v>9</v>
          </cell>
          <cell r="D2">
            <v>13</v>
          </cell>
          <cell r="E2">
            <v>3262</v>
          </cell>
          <cell r="F2">
            <v>1247</v>
          </cell>
          <cell r="G2">
            <v>1342</v>
          </cell>
          <cell r="H2">
            <v>2303</v>
          </cell>
          <cell r="I2">
            <v>3362</v>
          </cell>
        </row>
        <row r="3">
          <cell r="B3" t="str">
            <v>Anesthesiology: Pain Management</v>
          </cell>
          <cell r="C3">
            <v>14</v>
          </cell>
          <cell r="D3">
            <v>33</v>
          </cell>
          <cell r="E3">
            <v>5120</v>
          </cell>
          <cell r="F3">
            <v>3075</v>
          </cell>
          <cell r="G3">
            <v>1933</v>
          </cell>
          <cell r="H3">
            <v>3000</v>
          </cell>
          <cell r="I3">
            <v>4502</v>
          </cell>
        </row>
        <row r="4">
          <cell r="B4" t="str">
            <v>Cardiology: Electrophysiology</v>
          </cell>
          <cell r="C4">
            <v>7</v>
          </cell>
          <cell r="D4">
            <v>25</v>
          </cell>
          <cell r="E4">
            <v>10680</v>
          </cell>
          <cell r="F4">
            <v>4378</v>
          </cell>
          <cell r="G4">
            <v>6104</v>
          </cell>
          <cell r="H4">
            <v>8624</v>
          </cell>
          <cell r="I4">
            <v>9587</v>
          </cell>
        </row>
        <row r="5">
          <cell r="B5" t="str">
            <v>Cardiology: Invasive</v>
          </cell>
          <cell r="C5">
            <v>10</v>
          </cell>
          <cell r="D5">
            <v>52</v>
          </cell>
          <cell r="E5">
            <v>9209</v>
          </cell>
          <cell r="F5">
            <v>4034</v>
          </cell>
          <cell r="G5">
            <v>4678</v>
          </cell>
          <cell r="H5">
            <v>5747</v>
          </cell>
          <cell r="I5">
            <v>8642</v>
          </cell>
        </row>
        <row r="6">
          <cell r="B6" t="str">
            <v>Cardiology: Invasive-Interventional</v>
          </cell>
          <cell r="C6">
            <v>15</v>
          </cell>
          <cell r="D6">
            <v>53</v>
          </cell>
          <cell r="E6">
            <v>9113</v>
          </cell>
          <cell r="F6">
            <v>2857</v>
          </cell>
          <cell r="G6">
            <v>5395</v>
          </cell>
          <cell r="H6">
            <v>6811</v>
          </cell>
          <cell r="I6">
            <v>9029</v>
          </cell>
        </row>
        <row r="7">
          <cell r="B7" t="str">
            <v>Cardiology: Noninvasive</v>
          </cell>
          <cell r="C7">
            <v>15</v>
          </cell>
          <cell r="D7">
            <v>127</v>
          </cell>
          <cell r="E7">
            <v>7039</v>
          </cell>
          <cell r="F7">
            <v>3036</v>
          </cell>
          <cell r="G7">
            <v>3340</v>
          </cell>
          <cell r="H7">
            <v>4927</v>
          </cell>
          <cell r="I7">
            <v>6469</v>
          </cell>
        </row>
        <row r="8">
          <cell r="B8" t="str">
            <v>Critical Care: Intensivist</v>
          </cell>
          <cell r="C8">
            <v>5</v>
          </cell>
          <cell r="D8">
            <v>12</v>
          </cell>
          <cell r="E8">
            <v>5600</v>
          </cell>
          <cell r="F8">
            <v>1670</v>
          </cell>
          <cell r="G8">
            <v>3538</v>
          </cell>
          <cell r="H8">
            <v>4157</v>
          </cell>
          <cell r="I8">
            <v>5369</v>
          </cell>
        </row>
        <row r="9">
          <cell r="B9" t="str">
            <v>Dentistry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Dermatology</v>
          </cell>
          <cell r="C10">
            <v>14</v>
          </cell>
          <cell r="D10">
            <v>60</v>
          </cell>
          <cell r="E10">
            <v>8024</v>
          </cell>
          <cell r="F10">
            <v>4383</v>
          </cell>
          <cell r="G10">
            <v>3603</v>
          </cell>
          <cell r="H10">
            <v>4649</v>
          </cell>
          <cell r="I10">
            <v>6588</v>
          </cell>
        </row>
        <row r="11">
          <cell r="B11" t="str">
            <v>Dermatology: Dermatopathology</v>
          </cell>
          <cell r="C11">
            <v>5</v>
          </cell>
          <cell r="D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Dermatology: Mohs Surgery</v>
          </cell>
          <cell r="C12">
            <v>6</v>
          </cell>
          <cell r="D12">
            <v>12</v>
          </cell>
          <cell r="E12">
            <v>21835</v>
          </cell>
          <cell r="F12">
            <v>6815</v>
          </cell>
          <cell r="G12">
            <v>11085</v>
          </cell>
          <cell r="H12">
            <v>16708</v>
          </cell>
          <cell r="I12">
            <v>21157</v>
          </cell>
        </row>
        <row r="13">
          <cell r="B13" t="str">
            <v>Emergency Medicine</v>
          </cell>
          <cell r="C13">
            <v>12</v>
          </cell>
          <cell r="D13">
            <v>275</v>
          </cell>
          <cell r="E13">
            <v>8730</v>
          </cell>
          <cell r="F13">
            <v>3876</v>
          </cell>
          <cell r="G13">
            <v>3813</v>
          </cell>
          <cell r="H13">
            <v>6092</v>
          </cell>
          <cell r="I13">
            <v>8382</v>
          </cell>
        </row>
        <row r="14">
          <cell r="B14" t="str">
            <v>Endocrinology/Metabolism</v>
          </cell>
          <cell r="C14">
            <v>17</v>
          </cell>
          <cell r="D14">
            <v>51</v>
          </cell>
          <cell r="E14">
            <v>4441</v>
          </cell>
          <cell r="F14">
            <v>1781</v>
          </cell>
          <cell r="G14">
            <v>2313</v>
          </cell>
          <cell r="H14">
            <v>3190</v>
          </cell>
          <cell r="I14">
            <v>4103</v>
          </cell>
        </row>
        <row r="15">
          <cell r="B15" t="str">
            <v>Family Medicine (with OB)</v>
          </cell>
          <cell r="C15">
            <v>14</v>
          </cell>
          <cell r="D15">
            <v>71</v>
          </cell>
          <cell r="E15">
            <v>5276</v>
          </cell>
          <cell r="F15">
            <v>1945</v>
          </cell>
          <cell r="G15">
            <v>2390</v>
          </cell>
          <cell r="H15">
            <v>3886</v>
          </cell>
          <cell r="I15">
            <v>5343</v>
          </cell>
        </row>
        <row r="16">
          <cell r="B16" t="str">
            <v>Family Medicine (without OB)</v>
          </cell>
          <cell r="C16">
            <v>25</v>
          </cell>
          <cell r="D16">
            <v>152</v>
          </cell>
          <cell r="E16">
            <v>4521</v>
          </cell>
          <cell r="F16">
            <v>1755</v>
          </cell>
          <cell r="G16">
            <v>1845</v>
          </cell>
          <cell r="H16">
            <v>3466</v>
          </cell>
          <cell r="I16">
            <v>4770</v>
          </cell>
        </row>
        <row r="17">
          <cell r="B17" t="str">
            <v>Family Medicine: Ambulatory Only (No Inpatient Work)</v>
          </cell>
          <cell r="C17">
            <v>5</v>
          </cell>
          <cell r="D17">
            <v>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 t="str">
            <v>Family Medicine: Sports Medicine</v>
          </cell>
          <cell r="C18">
            <v>11</v>
          </cell>
          <cell r="D18">
            <v>14</v>
          </cell>
          <cell r="E18">
            <v>5398</v>
          </cell>
          <cell r="F18">
            <v>1768</v>
          </cell>
          <cell r="G18">
            <v>2960</v>
          </cell>
          <cell r="H18">
            <v>3863</v>
          </cell>
          <cell r="I18">
            <v>5543</v>
          </cell>
        </row>
        <row r="19">
          <cell r="B19" t="str">
            <v>Gastroenterology</v>
          </cell>
          <cell r="C19">
            <v>22</v>
          </cell>
          <cell r="D19">
            <v>120</v>
          </cell>
          <cell r="E19">
            <v>8525</v>
          </cell>
          <cell r="F19">
            <v>4476</v>
          </cell>
          <cell r="G19">
            <v>3807</v>
          </cell>
          <cell r="H19">
            <v>5577</v>
          </cell>
          <cell r="I19">
            <v>7920</v>
          </cell>
        </row>
        <row r="20">
          <cell r="B20" t="str">
            <v>Gastroenterology: Hepatology</v>
          </cell>
          <cell r="C20">
            <v>6</v>
          </cell>
          <cell r="D20">
            <v>13</v>
          </cell>
          <cell r="E20">
            <v>5908</v>
          </cell>
          <cell r="F20">
            <v>1884</v>
          </cell>
          <cell r="G20">
            <v>3568</v>
          </cell>
          <cell r="H20">
            <v>4414</v>
          </cell>
          <cell r="I20">
            <v>5433</v>
          </cell>
        </row>
        <row r="21">
          <cell r="B21" t="str">
            <v>Genetics</v>
          </cell>
          <cell r="C21">
            <v>3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 t="str">
            <v>Geriatrics</v>
          </cell>
          <cell r="C22">
            <v>14</v>
          </cell>
          <cell r="D22">
            <v>35</v>
          </cell>
          <cell r="E22">
            <v>4390</v>
          </cell>
          <cell r="F22">
            <v>1801</v>
          </cell>
          <cell r="G22">
            <v>1564</v>
          </cell>
          <cell r="H22">
            <v>3387</v>
          </cell>
          <cell r="I22">
            <v>4584</v>
          </cell>
        </row>
        <row r="23">
          <cell r="B23" t="str">
            <v>Hematology/Oncology</v>
          </cell>
          <cell r="C23">
            <v>16</v>
          </cell>
          <cell r="D23">
            <v>140</v>
          </cell>
          <cell r="E23">
            <v>5852</v>
          </cell>
          <cell r="F23">
            <v>2420</v>
          </cell>
          <cell r="G23">
            <v>2379</v>
          </cell>
          <cell r="H23">
            <v>4206</v>
          </cell>
          <cell r="I23">
            <v>5771</v>
          </cell>
        </row>
        <row r="24">
          <cell r="B24" t="str">
            <v>Hematology/Oncology: Oncology (Only)</v>
          </cell>
          <cell r="C24">
            <v>8</v>
          </cell>
          <cell r="D24">
            <v>37</v>
          </cell>
          <cell r="E24">
            <v>5621</v>
          </cell>
          <cell r="F24">
            <v>2439</v>
          </cell>
          <cell r="G24">
            <v>3145</v>
          </cell>
          <cell r="H24">
            <v>4069</v>
          </cell>
          <cell r="I24">
            <v>5188</v>
          </cell>
        </row>
        <row r="25">
          <cell r="B25" t="str">
            <v>Hospice/Palliative Care</v>
          </cell>
          <cell r="C25">
            <v>5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Hospitalist: Family Medicine</v>
          </cell>
          <cell r="C26">
            <v>5</v>
          </cell>
          <cell r="D26">
            <v>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Hospitalist: Internal Medicine</v>
          </cell>
          <cell r="C27">
            <v>18</v>
          </cell>
          <cell r="D27">
            <v>178</v>
          </cell>
          <cell r="E27">
            <v>3976</v>
          </cell>
          <cell r="F27">
            <v>1420</v>
          </cell>
          <cell r="G27">
            <v>2267</v>
          </cell>
          <cell r="H27">
            <v>3119</v>
          </cell>
          <cell r="I27">
            <v>3755</v>
          </cell>
        </row>
        <row r="28">
          <cell r="B28" t="str">
            <v>Infectious Disease</v>
          </cell>
          <cell r="C28">
            <v>18</v>
          </cell>
          <cell r="D28">
            <v>79</v>
          </cell>
          <cell r="E28">
            <v>4137</v>
          </cell>
          <cell r="F28">
            <v>2302</v>
          </cell>
          <cell r="G28">
            <v>1582</v>
          </cell>
          <cell r="H28">
            <v>2454</v>
          </cell>
          <cell r="I28">
            <v>3777</v>
          </cell>
        </row>
        <row r="29">
          <cell r="B29" t="str">
            <v>Internal Medicine: General</v>
          </cell>
          <cell r="C29">
            <v>27</v>
          </cell>
          <cell r="D29">
            <v>264</v>
          </cell>
          <cell r="E29">
            <v>4071</v>
          </cell>
          <cell r="F29">
            <v>2109</v>
          </cell>
          <cell r="G29">
            <v>1460</v>
          </cell>
          <cell r="H29">
            <v>2480</v>
          </cell>
          <cell r="I29">
            <v>4149</v>
          </cell>
        </row>
        <row r="30">
          <cell r="B30" t="str">
            <v>Internal Medicine: Ambulatory Only (No Inpatient Work)</v>
          </cell>
          <cell r="C30">
            <v>4</v>
          </cell>
          <cell r="D30">
            <v>26</v>
          </cell>
          <cell r="E30">
            <v>4583</v>
          </cell>
          <cell r="F30">
            <v>1383</v>
          </cell>
          <cell r="G30">
            <v>2764</v>
          </cell>
          <cell r="H30">
            <v>3613</v>
          </cell>
          <cell r="I30">
            <v>4621</v>
          </cell>
        </row>
        <row r="31">
          <cell r="B31" t="str">
            <v>Nephrology</v>
          </cell>
          <cell r="C31">
            <v>18</v>
          </cell>
          <cell r="D31">
            <v>90</v>
          </cell>
          <cell r="E31">
            <v>7428</v>
          </cell>
          <cell r="F31">
            <v>3560</v>
          </cell>
          <cell r="G31">
            <v>3478</v>
          </cell>
          <cell r="H31">
            <v>5103</v>
          </cell>
          <cell r="I31">
            <v>7082</v>
          </cell>
        </row>
        <row r="32">
          <cell r="B32" t="str">
            <v>Neurology</v>
          </cell>
          <cell r="C32">
            <v>26</v>
          </cell>
          <cell r="D32">
            <v>216</v>
          </cell>
          <cell r="E32">
            <v>4482</v>
          </cell>
          <cell r="F32">
            <v>2238</v>
          </cell>
          <cell r="G32">
            <v>2457</v>
          </cell>
          <cell r="H32">
            <v>3212</v>
          </cell>
          <cell r="I32">
            <v>4079</v>
          </cell>
        </row>
        <row r="33">
          <cell r="B33" t="str">
            <v>Neurology: Epilepsy/EEG</v>
          </cell>
          <cell r="C33">
            <v>10</v>
          </cell>
          <cell r="D33">
            <v>25</v>
          </cell>
          <cell r="E33">
            <v>7394</v>
          </cell>
          <cell r="F33">
            <v>2983</v>
          </cell>
          <cell r="G33">
            <v>3340</v>
          </cell>
          <cell r="H33">
            <v>5526</v>
          </cell>
          <cell r="I33">
            <v>6532</v>
          </cell>
        </row>
        <row r="34">
          <cell r="B34" t="str">
            <v>Neurology: Neuromuscular</v>
          </cell>
          <cell r="C34">
            <v>12</v>
          </cell>
          <cell r="D34">
            <v>33</v>
          </cell>
          <cell r="E34">
            <v>4348</v>
          </cell>
          <cell r="F34">
            <v>1035</v>
          </cell>
          <cell r="G34">
            <v>3408</v>
          </cell>
          <cell r="H34">
            <v>3693</v>
          </cell>
          <cell r="I34">
            <v>4053</v>
          </cell>
        </row>
        <row r="35">
          <cell r="B35" t="str">
            <v>Neurology: Stroke Medicine</v>
          </cell>
          <cell r="C35">
            <v>7</v>
          </cell>
          <cell r="D35">
            <v>18</v>
          </cell>
          <cell r="E35">
            <v>3677</v>
          </cell>
          <cell r="F35">
            <v>1794</v>
          </cell>
          <cell r="G35">
            <v>1124</v>
          </cell>
          <cell r="H35">
            <v>2373</v>
          </cell>
          <cell r="I35">
            <v>3533</v>
          </cell>
        </row>
        <row r="36">
          <cell r="B36" t="str">
            <v>Obstetrics/Gynecology: General</v>
          </cell>
          <cell r="C36">
            <v>20</v>
          </cell>
          <cell r="D36">
            <v>139</v>
          </cell>
          <cell r="E36">
            <v>7196</v>
          </cell>
          <cell r="F36">
            <v>3195</v>
          </cell>
          <cell r="G36">
            <v>3085</v>
          </cell>
          <cell r="H36">
            <v>5084</v>
          </cell>
          <cell r="I36">
            <v>6956</v>
          </cell>
        </row>
        <row r="37">
          <cell r="B37" t="str">
            <v>OB/GYN: Gynecology (Only)</v>
          </cell>
          <cell r="C37">
            <v>4</v>
          </cell>
          <cell r="D37">
            <v>18</v>
          </cell>
          <cell r="E37">
            <v>5358</v>
          </cell>
          <cell r="F37">
            <v>2204</v>
          </cell>
          <cell r="G37">
            <v>2052</v>
          </cell>
          <cell r="H37">
            <v>4029</v>
          </cell>
          <cell r="I37">
            <v>4873</v>
          </cell>
        </row>
        <row r="38">
          <cell r="B38" t="str">
            <v>OB/GYN: Gynecological Oncology</v>
          </cell>
          <cell r="C38">
            <v>10</v>
          </cell>
          <cell r="D38">
            <v>24</v>
          </cell>
          <cell r="E38">
            <v>7136</v>
          </cell>
          <cell r="F38">
            <v>3481</v>
          </cell>
          <cell r="G38">
            <v>3352</v>
          </cell>
          <cell r="H38">
            <v>4673</v>
          </cell>
          <cell r="I38">
            <v>6420</v>
          </cell>
        </row>
        <row r="39">
          <cell r="B39" t="str">
            <v>OB/GYN: Maternal and Fetal Medicine</v>
          </cell>
          <cell r="C39">
            <v>18</v>
          </cell>
          <cell r="D39">
            <v>49</v>
          </cell>
          <cell r="E39">
            <v>9721</v>
          </cell>
          <cell r="F39">
            <v>4413</v>
          </cell>
          <cell r="G39">
            <v>4899</v>
          </cell>
          <cell r="H39">
            <v>6751</v>
          </cell>
          <cell r="I39">
            <v>8834</v>
          </cell>
        </row>
        <row r="40">
          <cell r="B40" t="str">
            <v>OB/GYN: Reproductive Endocrinology</v>
          </cell>
          <cell r="C40">
            <v>7</v>
          </cell>
          <cell r="D40">
            <v>13</v>
          </cell>
          <cell r="E40">
            <v>5776</v>
          </cell>
          <cell r="F40">
            <v>3137</v>
          </cell>
          <cell r="G40">
            <v>1951</v>
          </cell>
          <cell r="H40">
            <v>3247</v>
          </cell>
          <cell r="I40">
            <v>4553</v>
          </cell>
        </row>
        <row r="41">
          <cell r="B41" t="str">
            <v>OB/GYN: Urogynecology</v>
          </cell>
          <cell r="C41">
            <v>9</v>
          </cell>
          <cell r="D41">
            <v>15</v>
          </cell>
          <cell r="E41">
            <v>5649</v>
          </cell>
          <cell r="F41">
            <v>2093</v>
          </cell>
          <cell r="G41">
            <v>2109</v>
          </cell>
          <cell r="H41">
            <v>4249</v>
          </cell>
          <cell r="I41">
            <v>6025</v>
          </cell>
        </row>
        <row r="42">
          <cell r="B42" t="str">
            <v>Occupational Medicine</v>
          </cell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Ophthalmology</v>
          </cell>
          <cell r="C43">
            <v>15</v>
          </cell>
          <cell r="D43">
            <v>90</v>
          </cell>
          <cell r="E43">
            <v>8919</v>
          </cell>
          <cell r="F43">
            <v>5063</v>
          </cell>
          <cell r="G43">
            <v>3031</v>
          </cell>
          <cell r="H43">
            <v>5139</v>
          </cell>
          <cell r="I43">
            <v>7934</v>
          </cell>
        </row>
        <row r="44">
          <cell r="B44" t="str">
            <v>Ophthalmology: Corneal and Refractive Surgery</v>
          </cell>
          <cell r="C44">
            <v>7</v>
          </cell>
          <cell r="D44">
            <v>12</v>
          </cell>
          <cell r="E44">
            <v>9310</v>
          </cell>
          <cell r="F44">
            <v>4164</v>
          </cell>
          <cell r="G44">
            <v>3149</v>
          </cell>
          <cell r="H44">
            <v>5068</v>
          </cell>
          <cell r="I44">
            <v>9786</v>
          </cell>
        </row>
        <row r="45">
          <cell r="B45" t="str">
            <v>Ophthalmology: Glaucoma</v>
          </cell>
          <cell r="C45">
            <v>7</v>
          </cell>
          <cell r="D45">
            <v>12</v>
          </cell>
          <cell r="E45">
            <v>7976</v>
          </cell>
          <cell r="F45">
            <v>2845</v>
          </cell>
          <cell r="G45">
            <v>3608</v>
          </cell>
          <cell r="H45">
            <v>5571</v>
          </cell>
          <cell r="I45">
            <v>7725</v>
          </cell>
        </row>
        <row r="46">
          <cell r="B46" t="str">
            <v>Ophthalmology: Neurology</v>
          </cell>
          <cell r="C46">
            <v>4</v>
          </cell>
          <cell r="D46">
            <v>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Ophthalmology: Oculoplastic and Recon Surgery</v>
          </cell>
          <cell r="C47">
            <v>6</v>
          </cell>
          <cell r="D47">
            <v>10</v>
          </cell>
          <cell r="E47">
            <v>8602</v>
          </cell>
          <cell r="F47">
            <v>4658</v>
          </cell>
          <cell r="G47">
            <v>3190</v>
          </cell>
          <cell r="H47">
            <v>5314</v>
          </cell>
          <cell r="I47">
            <v>7020</v>
          </cell>
        </row>
        <row r="48">
          <cell r="B48" t="str">
            <v>Ophthalmology: Retina</v>
          </cell>
          <cell r="C48">
            <v>10</v>
          </cell>
          <cell r="D48">
            <v>20</v>
          </cell>
          <cell r="E48">
            <v>12380</v>
          </cell>
          <cell r="F48">
            <v>4570</v>
          </cell>
          <cell r="G48">
            <v>4963</v>
          </cell>
          <cell r="H48">
            <v>9515</v>
          </cell>
          <cell r="I48">
            <v>11976</v>
          </cell>
        </row>
        <row r="49">
          <cell r="B49" t="str">
            <v>Orthopedic (Nonsurgical)</v>
          </cell>
          <cell r="C49">
            <v>7</v>
          </cell>
          <cell r="D49">
            <v>23</v>
          </cell>
          <cell r="E49">
            <v>7558</v>
          </cell>
          <cell r="F49">
            <v>3261</v>
          </cell>
          <cell r="G49">
            <v>3512</v>
          </cell>
          <cell r="H49">
            <v>5487</v>
          </cell>
          <cell r="I49">
            <v>6720</v>
          </cell>
        </row>
        <row r="50">
          <cell r="B50" t="str">
            <v>Orthopedic Surgery: General</v>
          </cell>
          <cell r="C50">
            <v>10</v>
          </cell>
          <cell r="D50">
            <v>33</v>
          </cell>
          <cell r="E50">
            <v>10493</v>
          </cell>
          <cell r="F50">
            <v>3447</v>
          </cell>
          <cell r="G50">
            <v>6435</v>
          </cell>
          <cell r="H50">
            <v>8200</v>
          </cell>
          <cell r="I50">
            <v>9928</v>
          </cell>
        </row>
        <row r="51">
          <cell r="B51" t="str">
            <v>Orthopedic Surgery: Foot and Ankle</v>
          </cell>
          <cell r="C51">
            <v>13</v>
          </cell>
          <cell r="D51">
            <v>22</v>
          </cell>
          <cell r="E51">
            <v>8527</v>
          </cell>
          <cell r="F51">
            <v>3086</v>
          </cell>
          <cell r="G51">
            <v>3528</v>
          </cell>
          <cell r="H51">
            <v>7120</v>
          </cell>
          <cell r="I51">
            <v>8339</v>
          </cell>
        </row>
        <row r="52">
          <cell r="B52" t="str">
            <v>Orthopedic Surgery: Hand</v>
          </cell>
          <cell r="C52">
            <v>18</v>
          </cell>
          <cell r="D52">
            <v>43</v>
          </cell>
          <cell r="E52">
            <v>9832</v>
          </cell>
          <cell r="F52">
            <v>4259</v>
          </cell>
          <cell r="G52">
            <v>5068</v>
          </cell>
          <cell r="H52">
            <v>6735</v>
          </cell>
          <cell r="I52">
            <v>9025</v>
          </cell>
        </row>
        <row r="53">
          <cell r="B53" t="str">
            <v>Orthopedic Surgery: Hip and Joint</v>
          </cell>
          <cell r="C53">
            <v>14</v>
          </cell>
          <cell r="D53">
            <v>35</v>
          </cell>
          <cell r="E53">
            <v>12094</v>
          </cell>
          <cell r="F53">
            <v>5330</v>
          </cell>
          <cell r="G53">
            <v>5680</v>
          </cell>
          <cell r="H53">
            <v>7963</v>
          </cell>
          <cell r="I53">
            <v>11097</v>
          </cell>
        </row>
        <row r="54">
          <cell r="B54" t="str">
            <v>Orthopedic Surgery: Oncology</v>
          </cell>
          <cell r="C54">
            <v>7</v>
          </cell>
          <cell r="D54">
            <v>10</v>
          </cell>
          <cell r="E54">
            <v>7497</v>
          </cell>
          <cell r="F54">
            <v>3015</v>
          </cell>
          <cell r="G54">
            <v>3005</v>
          </cell>
          <cell r="H54">
            <v>5298</v>
          </cell>
          <cell r="I54">
            <v>6956</v>
          </cell>
        </row>
        <row r="55">
          <cell r="B55" t="str">
            <v>Orthopedic Surgery: Shoulder/Elbow</v>
          </cell>
          <cell r="C55">
            <v>5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Orthopedic Surgery: Spine</v>
          </cell>
          <cell r="C56">
            <v>15</v>
          </cell>
          <cell r="D56">
            <v>31</v>
          </cell>
          <cell r="E56">
            <v>15364</v>
          </cell>
          <cell r="F56">
            <v>7411</v>
          </cell>
          <cell r="G56">
            <v>7070</v>
          </cell>
          <cell r="H56">
            <v>9924</v>
          </cell>
          <cell r="I56">
            <v>14035</v>
          </cell>
        </row>
        <row r="57">
          <cell r="B57" t="str">
            <v>Orthopedic Surgery: Trauma</v>
          </cell>
          <cell r="C57">
            <v>15</v>
          </cell>
          <cell r="D57">
            <v>46</v>
          </cell>
          <cell r="E57">
            <v>10262</v>
          </cell>
          <cell r="F57">
            <v>4111</v>
          </cell>
          <cell r="G57">
            <v>5870</v>
          </cell>
          <cell r="H57">
            <v>7905</v>
          </cell>
          <cell r="I57">
            <v>9354</v>
          </cell>
        </row>
        <row r="58">
          <cell r="B58" t="str">
            <v>Orthopedic Surgery: Sports Medicine</v>
          </cell>
          <cell r="C58">
            <v>17</v>
          </cell>
          <cell r="D58">
            <v>52</v>
          </cell>
          <cell r="E58">
            <v>9438</v>
          </cell>
          <cell r="F58">
            <v>4298</v>
          </cell>
          <cell r="G58">
            <v>5138</v>
          </cell>
          <cell r="H58">
            <v>6768</v>
          </cell>
          <cell r="I58">
            <v>8341</v>
          </cell>
        </row>
        <row r="59">
          <cell r="B59" t="str">
            <v>Otorhinolaryngology</v>
          </cell>
          <cell r="C59">
            <v>17</v>
          </cell>
          <cell r="D59">
            <v>131</v>
          </cell>
          <cell r="E59">
            <v>8063</v>
          </cell>
          <cell r="F59">
            <v>3625</v>
          </cell>
          <cell r="G59">
            <v>3813</v>
          </cell>
          <cell r="H59">
            <v>5614</v>
          </cell>
          <cell r="I59">
            <v>7533</v>
          </cell>
        </row>
        <row r="60">
          <cell r="B60" t="str">
            <v>Pain Management: Nonanesthesia</v>
          </cell>
          <cell r="C60">
            <v>2</v>
          </cell>
          <cell r="D60">
            <v>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Pathology: Anatomic and Clinical</v>
          </cell>
          <cell r="C61">
            <v>10</v>
          </cell>
          <cell r="D61">
            <v>69</v>
          </cell>
          <cell r="E61">
            <v>7165</v>
          </cell>
          <cell r="F61">
            <v>3259</v>
          </cell>
          <cell r="G61">
            <v>3154</v>
          </cell>
          <cell r="H61">
            <v>6031</v>
          </cell>
          <cell r="I61">
            <v>7163</v>
          </cell>
        </row>
        <row r="62">
          <cell r="B62" t="str">
            <v>Pathology: Anatomic</v>
          </cell>
          <cell r="C62">
            <v>13</v>
          </cell>
          <cell r="D62">
            <v>69</v>
          </cell>
          <cell r="E62">
            <v>6697</v>
          </cell>
          <cell r="F62">
            <v>3797</v>
          </cell>
          <cell r="G62">
            <v>2412</v>
          </cell>
          <cell r="H62">
            <v>3860</v>
          </cell>
          <cell r="I62">
            <v>6070</v>
          </cell>
        </row>
        <row r="63">
          <cell r="B63" t="str">
            <v>Pathology: Anatomic-Cytopathology</v>
          </cell>
          <cell r="C63">
            <v>6</v>
          </cell>
          <cell r="D63">
            <v>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Pathology: Anatomic-Neuropathology</v>
          </cell>
          <cell r="C64">
            <v>5</v>
          </cell>
          <cell r="D64">
            <v>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Pathology: Anatomic-Renal</v>
          </cell>
          <cell r="C65">
            <v>3</v>
          </cell>
          <cell r="D65">
            <v>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Pathology: Clinical</v>
          </cell>
          <cell r="C66">
            <v>10</v>
          </cell>
          <cell r="D66">
            <v>30</v>
          </cell>
          <cell r="E66">
            <v>4766</v>
          </cell>
          <cell r="F66">
            <v>2454</v>
          </cell>
          <cell r="G66">
            <v>1603</v>
          </cell>
          <cell r="H66">
            <v>2538</v>
          </cell>
          <cell r="I66">
            <v>4750</v>
          </cell>
        </row>
        <row r="67">
          <cell r="B67" t="str">
            <v>Pathology: Clinical-Hematopathology</v>
          </cell>
          <cell r="C67">
            <v>5</v>
          </cell>
          <cell r="D67">
            <v>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Pathology: Clinical-Transfusion Medicine</v>
          </cell>
          <cell r="C68">
            <v>1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Pathology: Surgical</v>
          </cell>
          <cell r="C69">
            <v>3</v>
          </cell>
          <cell r="D69">
            <v>25</v>
          </cell>
          <cell r="E69">
            <v>9909</v>
          </cell>
          <cell r="F69">
            <v>3498</v>
          </cell>
          <cell r="G69">
            <v>4948</v>
          </cell>
          <cell r="H69">
            <v>7660</v>
          </cell>
          <cell r="I69">
            <v>9778</v>
          </cell>
        </row>
        <row r="70">
          <cell r="B70" t="str">
            <v>Pediatrics: General</v>
          </cell>
          <cell r="C70">
            <v>28</v>
          </cell>
          <cell r="D70">
            <v>182</v>
          </cell>
          <cell r="E70">
            <v>5473</v>
          </cell>
          <cell r="F70">
            <v>2238</v>
          </cell>
          <cell r="G70">
            <v>2956</v>
          </cell>
          <cell r="H70">
            <v>4042</v>
          </cell>
          <cell r="I70">
            <v>5119</v>
          </cell>
        </row>
        <row r="71">
          <cell r="B71" t="str">
            <v>Pediatrics: Adolescent Medicine</v>
          </cell>
          <cell r="C71">
            <v>8</v>
          </cell>
          <cell r="D71">
            <v>17</v>
          </cell>
          <cell r="E71">
            <v>3430</v>
          </cell>
          <cell r="F71">
            <v>1588</v>
          </cell>
          <cell r="G71">
            <v>1098</v>
          </cell>
          <cell r="H71">
            <v>2476</v>
          </cell>
          <cell r="I71">
            <v>3478</v>
          </cell>
        </row>
        <row r="72">
          <cell r="B72" t="str">
            <v>Pediatrics: Allergy/Immunology</v>
          </cell>
          <cell r="C72">
            <v>8</v>
          </cell>
          <cell r="D72">
            <v>10</v>
          </cell>
          <cell r="E72">
            <v>3320</v>
          </cell>
          <cell r="F72">
            <v>1464</v>
          </cell>
          <cell r="G72">
            <v>1253</v>
          </cell>
          <cell r="H72">
            <v>2111</v>
          </cell>
          <cell r="I72">
            <v>3505</v>
          </cell>
        </row>
        <row r="73">
          <cell r="B73" t="str">
            <v>Pediatrics: Bone Marrow Transplant</v>
          </cell>
          <cell r="C73">
            <v>1</v>
          </cell>
          <cell r="D73">
            <v>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Pediatrics: Cardiology</v>
          </cell>
          <cell r="C74">
            <v>15</v>
          </cell>
          <cell r="D74">
            <v>106</v>
          </cell>
          <cell r="E74">
            <v>5837</v>
          </cell>
          <cell r="F74">
            <v>3012</v>
          </cell>
          <cell r="G74">
            <v>2914</v>
          </cell>
          <cell r="H74">
            <v>4204</v>
          </cell>
          <cell r="I74">
            <v>5279</v>
          </cell>
        </row>
        <row r="75">
          <cell r="B75" t="str">
            <v>Pediatrics: Cardiovascular Surgery</v>
          </cell>
          <cell r="C75">
            <v>6</v>
          </cell>
          <cell r="D75">
            <v>18</v>
          </cell>
          <cell r="E75">
            <v>9920</v>
          </cell>
          <cell r="F75">
            <v>5284</v>
          </cell>
          <cell r="G75">
            <v>3418</v>
          </cell>
          <cell r="H75">
            <v>5521</v>
          </cell>
          <cell r="I75">
            <v>9937</v>
          </cell>
        </row>
        <row r="76">
          <cell r="B76" t="str">
            <v>Pediatrics: Child Development</v>
          </cell>
          <cell r="C76">
            <v>11</v>
          </cell>
          <cell r="D76">
            <v>22</v>
          </cell>
          <cell r="E76">
            <v>2922</v>
          </cell>
          <cell r="F76">
            <v>1578</v>
          </cell>
          <cell r="G76">
            <v>1504</v>
          </cell>
          <cell r="H76">
            <v>1796</v>
          </cell>
          <cell r="I76">
            <v>2295</v>
          </cell>
        </row>
        <row r="77">
          <cell r="B77" t="str">
            <v>Pediatrics: Critical Care/Intensivist</v>
          </cell>
          <cell r="C77">
            <v>16</v>
          </cell>
          <cell r="D77">
            <v>74</v>
          </cell>
          <cell r="E77">
            <v>6507</v>
          </cell>
          <cell r="F77">
            <v>3013</v>
          </cell>
          <cell r="G77">
            <v>3218</v>
          </cell>
          <cell r="H77">
            <v>4019</v>
          </cell>
          <cell r="I77">
            <v>6338</v>
          </cell>
        </row>
        <row r="78">
          <cell r="B78" t="str">
            <v>Pediatrics: Dermatology</v>
          </cell>
          <cell r="C78">
            <v>3</v>
          </cell>
          <cell r="D78">
            <v>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Pediatrics: Emergency Medicine</v>
          </cell>
          <cell r="C79">
            <v>8</v>
          </cell>
          <cell r="D79">
            <v>60</v>
          </cell>
          <cell r="E79">
            <v>6386</v>
          </cell>
          <cell r="F79">
            <v>2668</v>
          </cell>
          <cell r="G79">
            <v>2600</v>
          </cell>
          <cell r="H79">
            <v>4297</v>
          </cell>
          <cell r="I79">
            <v>6614</v>
          </cell>
        </row>
        <row r="80">
          <cell r="B80" t="str">
            <v>Pediatrics: Endocrinology</v>
          </cell>
          <cell r="C80">
            <v>17</v>
          </cell>
          <cell r="D80">
            <v>52</v>
          </cell>
          <cell r="E80">
            <v>3688</v>
          </cell>
          <cell r="F80">
            <v>1099</v>
          </cell>
          <cell r="G80">
            <v>2363</v>
          </cell>
          <cell r="H80">
            <v>2794</v>
          </cell>
          <cell r="I80">
            <v>3499</v>
          </cell>
        </row>
        <row r="81">
          <cell r="B81" t="str">
            <v>Pediatrics: Gastroenterology</v>
          </cell>
          <cell r="C81">
            <v>16</v>
          </cell>
          <cell r="D81">
            <v>59</v>
          </cell>
          <cell r="E81">
            <v>4548</v>
          </cell>
          <cell r="F81">
            <v>1477</v>
          </cell>
          <cell r="G81">
            <v>2912</v>
          </cell>
          <cell r="H81">
            <v>3650</v>
          </cell>
          <cell r="I81">
            <v>4399</v>
          </cell>
        </row>
        <row r="82">
          <cell r="B82" t="str">
            <v>Pediatrics: Genetics</v>
          </cell>
          <cell r="C82">
            <v>8</v>
          </cell>
          <cell r="D82">
            <v>16</v>
          </cell>
          <cell r="E82">
            <v>2288</v>
          </cell>
          <cell r="F82">
            <v>903</v>
          </cell>
          <cell r="G82">
            <v>1035</v>
          </cell>
          <cell r="H82">
            <v>1677</v>
          </cell>
          <cell r="I82">
            <v>1996</v>
          </cell>
        </row>
        <row r="83">
          <cell r="B83" t="str">
            <v>Pediatrics: Hematology/Oncology</v>
          </cell>
          <cell r="C83">
            <v>14</v>
          </cell>
          <cell r="D83">
            <v>47</v>
          </cell>
          <cell r="E83">
            <v>4427</v>
          </cell>
          <cell r="F83">
            <v>1452</v>
          </cell>
          <cell r="G83">
            <v>2842</v>
          </cell>
          <cell r="H83">
            <v>3409</v>
          </cell>
          <cell r="I83">
            <v>4245</v>
          </cell>
        </row>
        <row r="84">
          <cell r="B84" t="str">
            <v>Pediatrics: Hospitalist</v>
          </cell>
          <cell r="C84">
            <v>16</v>
          </cell>
          <cell r="D84">
            <v>105</v>
          </cell>
          <cell r="E84">
            <v>3449</v>
          </cell>
          <cell r="F84">
            <v>1310</v>
          </cell>
          <cell r="G84">
            <v>1881</v>
          </cell>
          <cell r="H84">
            <v>2540</v>
          </cell>
          <cell r="I84">
            <v>3384</v>
          </cell>
        </row>
        <row r="85">
          <cell r="B85" t="str">
            <v>Pediatrics: Hospitalist-Internal Medicine</v>
          </cell>
          <cell r="C85">
            <v>1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Pediatrics: Infectious Disease</v>
          </cell>
          <cell r="C86">
            <v>11</v>
          </cell>
          <cell r="D86">
            <v>16</v>
          </cell>
          <cell r="E86">
            <v>2848</v>
          </cell>
          <cell r="F86">
            <v>889</v>
          </cell>
          <cell r="G86">
            <v>1127</v>
          </cell>
          <cell r="H86">
            <v>2656</v>
          </cell>
          <cell r="I86">
            <v>2853</v>
          </cell>
        </row>
        <row r="87">
          <cell r="B87" t="str">
            <v>Pediatrics: Internal Medicine</v>
          </cell>
          <cell r="C87">
            <v>2</v>
          </cell>
          <cell r="D87">
            <v>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Pediatrics: Neonatal Medicine</v>
          </cell>
          <cell r="C88">
            <v>19</v>
          </cell>
          <cell r="D88">
            <v>146</v>
          </cell>
          <cell r="E88">
            <v>12469</v>
          </cell>
          <cell r="F88">
            <v>5276</v>
          </cell>
          <cell r="G88">
            <v>5886</v>
          </cell>
          <cell r="H88">
            <v>8804</v>
          </cell>
          <cell r="I88">
            <v>12163</v>
          </cell>
        </row>
        <row r="89">
          <cell r="B89" t="str">
            <v>Pediatrics: Nephrology</v>
          </cell>
          <cell r="C89">
            <v>14</v>
          </cell>
          <cell r="D89">
            <v>28</v>
          </cell>
          <cell r="E89">
            <v>3841</v>
          </cell>
          <cell r="F89">
            <v>1446</v>
          </cell>
          <cell r="G89">
            <v>1788</v>
          </cell>
          <cell r="H89">
            <v>2885</v>
          </cell>
          <cell r="I89">
            <v>3867</v>
          </cell>
        </row>
        <row r="90">
          <cell r="B90" t="str">
            <v>Pediatrics: Neurology</v>
          </cell>
          <cell r="C90">
            <v>13</v>
          </cell>
          <cell r="D90">
            <v>65</v>
          </cell>
          <cell r="E90">
            <v>4493</v>
          </cell>
          <cell r="F90">
            <v>2407</v>
          </cell>
          <cell r="G90">
            <v>2016</v>
          </cell>
          <cell r="H90">
            <v>2949</v>
          </cell>
          <cell r="I90">
            <v>3820</v>
          </cell>
        </row>
        <row r="91">
          <cell r="B91" t="str">
            <v>Pediatrics: Neurological Surgery</v>
          </cell>
          <cell r="C91">
            <v>3</v>
          </cell>
          <cell r="D91">
            <v>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Pediatrics: Ophthalmology</v>
          </cell>
          <cell r="C92">
            <v>7</v>
          </cell>
          <cell r="D92">
            <v>19</v>
          </cell>
          <cell r="E92">
            <v>9146</v>
          </cell>
          <cell r="F92">
            <v>4040</v>
          </cell>
          <cell r="G92">
            <v>5252</v>
          </cell>
          <cell r="H92">
            <v>6655</v>
          </cell>
          <cell r="I92">
            <v>8257</v>
          </cell>
        </row>
        <row r="93">
          <cell r="B93" t="str">
            <v>Pediatrics: Orthopedic Surgery</v>
          </cell>
          <cell r="C93">
            <v>11</v>
          </cell>
          <cell r="D93">
            <v>43</v>
          </cell>
          <cell r="E93">
            <v>7388</v>
          </cell>
          <cell r="F93">
            <v>3491</v>
          </cell>
          <cell r="G93">
            <v>3442</v>
          </cell>
          <cell r="H93">
            <v>4610</v>
          </cell>
          <cell r="I93">
            <v>6934</v>
          </cell>
        </row>
        <row r="94">
          <cell r="B94" t="str">
            <v>Pediatrics: Otorhinolaryngology</v>
          </cell>
          <cell r="C94">
            <v>7</v>
          </cell>
          <cell r="D94">
            <v>37</v>
          </cell>
          <cell r="E94">
            <v>7757</v>
          </cell>
          <cell r="F94">
            <v>2150</v>
          </cell>
          <cell r="G94">
            <v>5239</v>
          </cell>
          <cell r="H94">
            <v>6093</v>
          </cell>
          <cell r="I94">
            <v>7599</v>
          </cell>
        </row>
        <row r="95">
          <cell r="B95" t="str">
            <v>Pediatrics: Plastic and Reconstructive Surgery</v>
          </cell>
          <cell r="C95">
            <v>4</v>
          </cell>
          <cell r="D95">
            <v>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Pediatrics: Pulmonology</v>
          </cell>
          <cell r="C96">
            <v>13</v>
          </cell>
          <cell r="D96">
            <v>43</v>
          </cell>
          <cell r="E96">
            <v>4568</v>
          </cell>
          <cell r="F96">
            <v>1612</v>
          </cell>
          <cell r="G96">
            <v>2566</v>
          </cell>
          <cell r="H96">
            <v>3413</v>
          </cell>
          <cell r="I96">
            <v>4170</v>
          </cell>
        </row>
        <row r="97">
          <cell r="B97" t="str">
            <v>Pediatrics: Radiology</v>
          </cell>
          <cell r="C97">
            <v>5</v>
          </cell>
          <cell r="D97">
            <v>28</v>
          </cell>
          <cell r="E97">
            <v>6444</v>
          </cell>
          <cell r="F97">
            <v>1524</v>
          </cell>
          <cell r="G97">
            <v>4484</v>
          </cell>
          <cell r="H97">
            <v>5318</v>
          </cell>
          <cell r="I97">
            <v>6244</v>
          </cell>
        </row>
        <row r="98">
          <cell r="B98" t="str">
            <v>Pediatrics: Rheumatology</v>
          </cell>
          <cell r="C98">
            <v>7</v>
          </cell>
          <cell r="D98">
            <v>11</v>
          </cell>
          <cell r="E98">
            <v>3650</v>
          </cell>
          <cell r="F98">
            <v>1218</v>
          </cell>
          <cell r="G98">
            <v>1873</v>
          </cell>
          <cell r="H98">
            <v>2545</v>
          </cell>
          <cell r="I98">
            <v>3611</v>
          </cell>
        </row>
        <row r="99">
          <cell r="B99" t="str">
            <v>Pediatrics: Sports Medicine</v>
          </cell>
          <cell r="C99">
            <v>2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Pediatrics: Surgery</v>
          </cell>
          <cell r="C100">
            <v>9</v>
          </cell>
          <cell r="D100">
            <v>45</v>
          </cell>
          <cell r="E100">
            <v>8126</v>
          </cell>
          <cell r="F100">
            <v>3945</v>
          </cell>
          <cell r="G100">
            <v>5529</v>
          </cell>
          <cell r="H100">
            <v>6598</v>
          </cell>
          <cell r="I100">
            <v>7616</v>
          </cell>
        </row>
        <row r="101">
          <cell r="B101" t="str">
            <v>Pediatrics: Urgent Care</v>
          </cell>
          <cell r="C101">
            <v>2</v>
          </cell>
          <cell r="D101">
            <v>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Pediatrics: Urology</v>
          </cell>
          <cell r="C102">
            <v>4</v>
          </cell>
          <cell r="D102">
            <v>11</v>
          </cell>
          <cell r="E102">
            <v>7461</v>
          </cell>
          <cell r="F102">
            <v>2324</v>
          </cell>
          <cell r="G102">
            <v>3716</v>
          </cell>
          <cell r="H102">
            <v>5415</v>
          </cell>
          <cell r="I102">
            <v>6965</v>
          </cell>
        </row>
        <row r="103">
          <cell r="B103" t="str">
            <v>Physiatry (Physical Medicine and Rehabilitation)</v>
          </cell>
          <cell r="C103">
            <v>20</v>
          </cell>
          <cell r="D103">
            <v>73</v>
          </cell>
          <cell r="E103">
            <v>5504</v>
          </cell>
          <cell r="F103">
            <v>2544</v>
          </cell>
          <cell r="G103">
            <v>2508</v>
          </cell>
          <cell r="H103">
            <v>4043</v>
          </cell>
          <cell r="I103">
            <v>5547</v>
          </cell>
        </row>
        <row r="104">
          <cell r="B104" t="str">
            <v>Podiatry: General</v>
          </cell>
          <cell r="C104">
            <v>5</v>
          </cell>
          <cell r="D104">
            <v>10</v>
          </cell>
          <cell r="E104">
            <v>5405</v>
          </cell>
          <cell r="F104">
            <v>2043</v>
          </cell>
          <cell r="G104">
            <v>2779</v>
          </cell>
          <cell r="H104">
            <v>3539</v>
          </cell>
          <cell r="I104">
            <v>5365</v>
          </cell>
        </row>
        <row r="105">
          <cell r="B105" t="str">
            <v>Podiatry: Surgery-Foot and Ankle</v>
          </cell>
          <cell r="C105">
            <v>1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 t="str">
            <v>Psychiatry: General</v>
          </cell>
          <cell r="C106">
            <v>21</v>
          </cell>
          <cell r="D106">
            <v>141</v>
          </cell>
          <cell r="E106">
            <v>4150</v>
          </cell>
          <cell r="F106">
            <v>2556</v>
          </cell>
          <cell r="G106">
            <v>1467</v>
          </cell>
          <cell r="H106">
            <v>2238</v>
          </cell>
          <cell r="I106">
            <v>3598</v>
          </cell>
        </row>
        <row r="107">
          <cell r="B107" t="str">
            <v>Psychiatry: Child and Adolescent</v>
          </cell>
          <cell r="C107">
            <v>8</v>
          </cell>
          <cell r="D107">
            <v>33</v>
          </cell>
          <cell r="E107">
            <v>3005</v>
          </cell>
          <cell r="F107">
            <v>1223</v>
          </cell>
          <cell r="G107">
            <v>1446</v>
          </cell>
          <cell r="H107">
            <v>2312</v>
          </cell>
          <cell r="I107">
            <v>2840</v>
          </cell>
        </row>
        <row r="108">
          <cell r="B108" t="str">
            <v>Psychiatry: Geriatric</v>
          </cell>
          <cell r="C108">
            <v>3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 t="str">
            <v>Pulmonary Medicine: General</v>
          </cell>
          <cell r="C109">
            <v>10</v>
          </cell>
          <cell r="D109">
            <v>67</v>
          </cell>
          <cell r="E109">
            <v>7568</v>
          </cell>
          <cell r="F109">
            <v>3554</v>
          </cell>
          <cell r="G109">
            <v>3994</v>
          </cell>
          <cell r="H109">
            <v>5327</v>
          </cell>
          <cell r="I109">
            <v>6559</v>
          </cell>
        </row>
        <row r="110">
          <cell r="B110" t="str">
            <v>Pulmonary Medicine: Critical Care</v>
          </cell>
          <cell r="C110">
            <v>7</v>
          </cell>
          <cell r="D110">
            <v>19</v>
          </cell>
          <cell r="E110">
            <v>6973</v>
          </cell>
          <cell r="F110">
            <v>2363</v>
          </cell>
          <cell r="G110">
            <v>3182</v>
          </cell>
          <cell r="H110">
            <v>4450</v>
          </cell>
          <cell r="I110">
            <v>7745</v>
          </cell>
        </row>
        <row r="111">
          <cell r="B111" t="str">
            <v>Pulmonary Medicine: General and Critical Care</v>
          </cell>
          <cell r="C111">
            <v>8</v>
          </cell>
          <cell r="D111">
            <v>34</v>
          </cell>
          <cell r="E111">
            <v>7932</v>
          </cell>
          <cell r="F111">
            <v>3737</v>
          </cell>
          <cell r="G111">
            <v>4194</v>
          </cell>
          <cell r="H111">
            <v>5511</v>
          </cell>
          <cell r="I111">
            <v>7211</v>
          </cell>
        </row>
        <row r="112">
          <cell r="B112" t="str">
            <v>Radiation Oncology</v>
          </cell>
          <cell r="C112">
            <v>15</v>
          </cell>
          <cell r="D112">
            <v>87</v>
          </cell>
          <cell r="E112">
            <v>9331</v>
          </cell>
          <cell r="F112">
            <v>3234</v>
          </cell>
          <cell r="G112">
            <v>5147</v>
          </cell>
          <cell r="H112">
            <v>7217</v>
          </cell>
          <cell r="I112">
            <v>8809</v>
          </cell>
        </row>
        <row r="113">
          <cell r="B113" t="str">
            <v>Radiology: Interventional</v>
          </cell>
          <cell r="C113">
            <v>13</v>
          </cell>
          <cell r="D113">
            <v>72</v>
          </cell>
          <cell r="E113">
            <v>8578</v>
          </cell>
          <cell r="F113">
            <v>4555</v>
          </cell>
          <cell r="G113">
            <v>2445</v>
          </cell>
          <cell r="H113">
            <v>5473</v>
          </cell>
          <cell r="I113">
            <v>8080</v>
          </cell>
        </row>
        <row r="114">
          <cell r="B114" t="str">
            <v>Radiology: Diagnostic</v>
          </cell>
          <cell r="C114">
            <v>22</v>
          </cell>
          <cell r="D114">
            <v>457</v>
          </cell>
          <cell r="E114">
            <v>7882</v>
          </cell>
          <cell r="F114">
            <v>3899</v>
          </cell>
          <cell r="G114">
            <v>3044</v>
          </cell>
          <cell r="H114">
            <v>5226</v>
          </cell>
          <cell r="I114">
            <v>7605</v>
          </cell>
        </row>
        <row r="115">
          <cell r="B115" t="str">
            <v>Radiology: Neurological</v>
          </cell>
          <cell r="C115">
            <v>12</v>
          </cell>
          <cell r="D115">
            <v>63</v>
          </cell>
          <cell r="E115">
            <v>12535</v>
          </cell>
          <cell r="F115">
            <v>5701</v>
          </cell>
          <cell r="G115">
            <v>5951</v>
          </cell>
          <cell r="H115">
            <v>9570</v>
          </cell>
          <cell r="I115">
            <v>11546</v>
          </cell>
        </row>
        <row r="116">
          <cell r="B116" t="str">
            <v>Radiology: Nuclear Medicine</v>
          </cell>
          <cell r="C116">
            <v>16</v>
          </cell>
          <cell r="D116">
            <v>40</v>
          </cell>
          <cell r="E116">
            <v>5751</v>
          </cell>
          <cell r="F116">
            <v>2394</v>
          </cell>
          <cell r="G116">
            <v>2596</v>
          </cell>
          <cell r="H116">
            <v>4146</v>
          </cell>
          <cell r="I116">
            <v>5357</v>
          </cell>
        </row>
        <row r="117">
          <cell r="B117" t="str">
            <v>Rheumatology</v>
          </cell>
          <cell r="C117">
            <v>16</v>
          </cell>
          <cell r="D117">
            <v>49</v>
          </cell>
          <cell r="E117">
            <v>4736</v>
          </cell>
          <cell r="F117">
            <v>1865</v>
          </cell>
          <cell r="G117">
            <v>2265</v>
          </cell>
          <cell r="H117">
            <v>3563</v>
          </cell>
          <cell r="I117">
            <v>4167</v>
          </cell>
        </row>
        <row r="118">
          <cell r="B118" t="str">
            <v>Sleep Medicine</v>
          </cell>
          <cell r="C118">
            <v>4</v>
          </cell>
          <cell r="D118">
            <v>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Surgery: General</v>
          </cell>
          <cell r="C119">
            <v>19</v>
          </cell>
          <cell r="D119">
            <v>72</v>
          </cell>
          <cell r="E119">
            <v>7405</v>
          </cell>
          <cell r="F119">
            <v>3161</v>
          </cell>
          <cell r="G119">
            <v>3465</v>
          </cell>
          <cell r="H119">
            <v>5033</v>
          </cell>
          <cell r="I119">
            <v>7438</v>
          </cell>
        </row>
        <row r="120">
          <cell r="B120" t="str">
            <v>Surgery: Bariatric</v>
          </cell>
          <cell r="C120">
            <v>4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Surgery: Breast</v>
          </cell>
          <cell r="C121">
            <v>7</v>
          </cell>
          <cell r="D121">
            <v>13</v>
          </cell>
          <cell r="E121">
            <v>7577</v>
          </cell>
          <cell r="F121">
            <v>3486</v>
          </cell>
          <cell r="G121">
            <v>3636</v>
          </cell>
          <cell r="H121">
            <v>4838</v>
          </cell>
          <cell r="I121">
            <v>6393</v>
          </cell>
        </row>
        <row r="122">
          <cell r="B122" t="str">
            <v>Surgery: Cardiovascular</v>
          </cell>
          <cell r="C122">
            <v>12</v>
          </cell>
          <cell r="D122">
            <v>43</v>
          </cell>
          <cell r="E122">
            <v>14346</v>
          </cell>
          <cell r="F122">
            <v>7429</v>
          </cell>
          <cell r="G122">
            <v>4470</v>
          </cell>
          <cell r="H122">
            <v>9039</v>
          </cell>
          <cell r="I122">
            <v>12809</v>
          </cell>
        </row>
        <row r="123">
          <cell r="B123" t="str">
            <v>Surgery: Colon and Rectal</v>
          </cell>
          <cell r="C123">
            <v>12</v>
          </cell>
          <cell r="D123">
            <v>33</v>
          </cell>
          <cell r="E123">
            <v>9251</v>
          </cell>
          <cell r="F123">
            <v>3943</v>
          </cell>
          <cell r="G123">
            <v>4907</v>
          </cell>
          <cell r="H123">
            <v>7439</v>
          </cell>
          <cell r="I123">
            <v>8861</v>
          </cell>
        </row>
        <row r="124">
          <cell r="B124" t="str">
            <v>Surgery: Neurological</v>
          </cell>
          <cell r="C124">
            <v>18</v>
          </cell>
          <cell r="D124">
            <v>96</v>
          </cell>
          <cell r="E124">
            <v>10770</v>
          </cell>
          <cell r="F124">
            <v>6045</v>
          </cell>
          <cell r="G124">
            <v>4545</v>
          </cell>
          <cell r="H124">
            <v>6466</v>
          </cell>
          <cell r="I124">
            <v>9264</v>
          </cell>
        </row>
        <row r="125">
          <cell r="B125" t="str">
            <v>Surgery: Oncology</v>
          </cell>
          <cell r="C125">
            <v>12</v>
          </cell>
          <cell r="D125">
            <v>37</v>
          </cell>
          <cell r="E125">
            <v>7771</v>
          </cell>
          <cell r="F125">
            <v>3798</v>
          </cell>
          <cell r="G125">
            <v>3823</v>
          </cell>
          <cell r="H125">
            <v>4324</v>
          </cell>
          <cell r="I125">
            <v>6603</v>
          </cell>
        </row>
        <row r="126">
          <cell r="B126" t="str">
            <v>Surgery: Oral</v>
          </cell>
          <cell r="C126">
            <v>5</v>
          </cell>
          <cell r="D126">
            <v>10</v>
          </cell>
          <cell r="E126">
            <v>8879</v>
          </cell>
          <cell r="F126">
            <v>4518</v>
          </cell>
          <cell r="G126">
            <v>2408</v>
          </cell>
          <cell r="H126">
            <v>3782</v>
          </cell>
          <cell r="I126">
            <v>10326</v>
          </cell>
        </row>
        <row r="127">
          <cell r="B127" t="str">
            <v>Surgery: Plastic and Reconstruction</v>
          </cell>
          <cell r="C127">
            <v>17</v>
          </cell>
          <cell r="D127">
            <v>49</v>
          </cell>
          <cell r="E127">
            <v>8842</v>
          </cell>
          <cell r="F127">
            <v>4238</v>
          </cell>
          <cell r="G127">
            <v>3813</v>
          </cell>
          <cell r="H127">
            <v>6021</v>
          </cell>
          <cell r="I127">
            <v>8246</v>
          </cell>
        </row>
        <row r="128">
          <cell r="B128" t="str">
            <v>Surgery: Plastic and Reconstruction-Hand</v>
          </cell>
          <cell r="C128">
            <v>5</v>
          </cell>
          <cell r="D128">
            <v>10</v>
          </cell>
          <cell r="E128">
            <v>9457</v>
          </cell>
          <cell r="F128">
            <v>3784</v>
          </cell>
          <cell r="G128">
            <v>5867</v>
          </cell>
          <cell r="H128">
            <v>6196</v>
          </cell>
          <cell r="I128">
            <v>8795</v>
          </cell>
        </row>
        <row r="129">
          <cell r="B129" t="str">
            <v>Surgery: Thoracic (Primary)</v>
          </cell>
          <cell r="C129">
            <v>12</v>
          </cell>
          <cell r="D129">
            <v>37</v>
          </cell>
          <cell r="E129">
            <v>9057</v>
          </cell>
          <cell r="F129">
            <v>5037</v>
          </cell>
          <cell r="G129">
            <v>2730</v>
          </cell>
          <cell r="H129">
            <v>4335</v>
          </cell>
          <cell r="I129">
            <v>9687</v>
          </cell>
        </row>
        <row r="130">
          <cell r="B130" t="str">
            <v>Surgery: Transplant</v>
          </cell>
          <cell r="C130">
            <v>12</v>
          </cell>
          <cell r="D130">
            <v>39</v>
          </cell>
          <cell r="E130">
            <v>6900</v>
          </cell>
          <cell r="F130">
            <v>3214</v>
          </cell>
          <cell r="G130">
            <v>3113</v>
          </cell>
          <cell r="H130">
            <v>5061</v>
          </cell>
          <cell r="I130">
            <v>6008</v>
          </cell>
        </row>
        <row r="131">
          <cell r="B131" t="str">
            <v>Surgery: Transplant-Kidney</v>
          </cell>
          <cell r="C131">
            <v>5</v>
          </cell>
          <cell r="D131">
            <v>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 t="str">
            <v>Surgery: Transplant-Liver</v>
          </cell>
          <cell r="C132">
            <v>2</v>
          </cell>
          <cell r="D132">
            <v>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 t="str">
            <v>Surgery: Trauma</v>
          </cell>
          <cell r="C133">
            <v>15</v>
          </cell>
          <cell r="D133">
            <v>50</v>
          </cell>
          <cell r="E133">
            <v>9537</v>
          </cell>
          <cell r="F133">
            <v>3476</v>
          </cell>
          <cell r="G133">
            <v>5287</v>
          </cell>
          <cell r="H133">
            <v>7594</v>
          </cell>
          <cell r="I133">
            <v>9678</v>
          </cell>
        </row>
        <row r="134">
          <cell r="B134" t="str">
            <v>Surgery: Trauma-Burn</v>
          </cell>
          <cell r="C134">
            <v>4</v>
          </cell>
          <cell r="D134">
            <v>10</v>
          </cell>
          <cell r="E134">
            <v>8563</v>
          </cell>
          <cell r="F134">
            <v>1926</v>
          </cell>
          <cell r="G134">
            <v>5891</v>
          </cell>
          <cell r="H134">
            <v>6809</v>
          </cell>
          <cell r="I134">
            <v>8364</v>
          </cell>
        </row>
        <row r="135">
          <cell r="B135" t="str">
            <v>Surgery: Vascular (Primary)</v>
          </cell>
          <cell r="C135">
            <v>16</v>
          </cell>
          <cell r="D135">
            <v>37</v>
          </cell>
          <cell r="E135">
            <v>9456</v>
          </cell>
          <cell r="F135">
            <v>4133</v>
          </cell>
          <cell r="G135">
            <v>4160</v>
          </cell>
          <cell r="H135">
            <v>6482</v>
          </cell>
          <cell r="I135">
            <v>8708</v>
          </cell>
        </row>
        <row r="136">
          <cell r="B136" t="str">
            <v>Urgent Care</v>
          </cell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>Urology</v>
          </cell>
          <cell r="C137">
            <v>19</v>
          </cell>
          <cell r="D137">
            <v>97</v>
          </cell>
          <cell r="E137">
            <v>9373</v>
          </cell>
          <cell r="F137">
            <v>3796</v>
          </cell>
          <cell r="G137">
            <v>4934</v>
          </cell>
          <cell r="H137">
            <v>6757</v>
          </cell>
          <cell r="I137">
            <v>9208</v>
          </cell>
        </row>
        <row r="138">
          <cell r="B138" t="str">
            <v>Audiologist</v>
          </cell>
          <cell r="C138">
            <v>3</v>
          </cell>
          <cell r="D138">
            <v>11</v>
          </cell>
          <cell r="E138">
            <v>919</v>
          </cell>
          <cell r="F138">
            <v>421</v>
          </cell>
          <cell r="G138">
            <v>288</v>
          </cell>
          <cell r="H138">
            <v>435</v>
          </cell>
          <cell r="I138">
            <v>993</v>
          </cell>
        </row>
        <row r="139">
          <cell r="B139" t="str">
            <v>Dietician/Nutritionist</v>
          </cell>
          <cell r="C139">
            <v>4</v>
          </cell>
          <cell r="D139">
            <v>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Nurse Midwife: Outpatient/Inpatient Deliveries</v>
          </cell>
          <cell r="C140">
            <v>3</v>
          </cell>
          <cell r="D140">
            <v>22</v>
          </cell>
          <cell r="E140">
            <v>2835</v>
          </cell>
          <cell r="F140">
            <v>1275</v>
          </cell>
          <cell r="G140">
            <v>1606</v>
          </cell>
          <cell r="H140">
            <v>1950</v>
          </cell>
          <cell r="I140">
            <v>2361</v>
          </cell>
        </row>
        <row r="141">
          <cell r="B141" t="str">
            <v>NP: Acute Care</v>
          </cell>
          <cell r="C141">
            <v>15</v>
          </cell>
          <cell r="D141">
            <v>71</v>
          </cell>
          <cell r="E141">
            <v>1545</v>
          </cell>
          <cell r="F141">
            <v>1160</v>
          </cell>
          <cell r="G141">
            <v>341</v>
          </cell>
          <cell r="H141">
            <v>687</v>
          </cell>
          <cell r="I141">
            <v>1258</v>
          </cell>
        </row>
        <row r="142">
          <cell r="B142" t="str">
            <v>NP: Adult</v>
          </cell>
          <cell r="C142">
            <v>6</v>
          </cell>
          <cell r="D142">
            <v>13</v>
          </cell>
          <cell r="E142">
            <v>2103</v>
          </cell>
          <cell r="F142">
            <v>945</v>
          </cell>
          <cell r="G142">
            <v>1155</v>
          </cell>
          <cell r="H142">
            <v>1635</v>
          </cell>
          <cell r="I142">
            <v>1825</v>
          </cell>
        </row>
        <row r="143">
          <cell r="B143" t="str">
            <v>NP: Cardiology</v>
          </cell>
          <cell r="C143">
            <v>4</v>
          </cell>
          <cell r="D143">
            <v>27</v>
          </cell>
          <cell r="E143">
            <v>1912</v>
          </cell>
          <cell r="F143">
            <v>716</v>
          </cell>
          <cell r="G143">
            <v>936</v>
          </cell>
          <cell r="H143">
            <v>1373</v>
          </cell>
          <cell r="I143">
            <v>1945</v>
          </cell>
        </row>
        <row r="144">
          <cell r="B144" t="str">
            <v>NP: Emergency Medicine</v>
          </cell>
          <cell r="C144">
            <v>2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 t="str">
            <v>NP: Endocrinology</v>
          </cell>
          <cell r="C145">
            <v>5</v>
          </cell>
          <cell r="D145">
            <v>12</v>
          </cell>
          <cell r="E145">
            <v>3478</v>
          </cell>
          <cell r="F145">
            <v>1538</v>
          </cell>
          <cell r="G145">
            <v>1361</v>
          </cell>
          <cell r="H145">
            <v>1856</v>
          </cell>
          <cell r="I145">
            <v>3693</v>
          </cell>
        </row>
        <row r="146">
          <cell r="B146" t="str">
            <v>NP: Family Medicine (with OB)</v>
          </cell>
          <cell r="C146">
            <v>3</v>
          </cell>
          <cell r="D146">
            <v>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NP: Family Medicine (without OB)</v>
          </cell>
          <cell r="C147">
            <v>9</v>
          </cell>
          <cell r="D147">
            <v>20</v>
          </cell>
          <cell r="E147">
            <v>2282</v>
          </cell>
          <cell r="F147">
            <v>1163</v>
          </cell>
          <cell r="G147">
            <v>740</v>
          </cell>
          <cell r="H147">
            <v>1415</v>
          </cell>
          <cell r="I147">
            <v>2029</v>
          </cell>
        </row>
        <row r="148">
          <cell r="B148" t="str">
            <v>NP: Gastroenterology</v>
          </cell>
          <cell r="C148">
            <v>6</v>
          </cell>
          <cell r="D148">
            <v>13</v>
          </cell>
          <cell r="E148">
            <v>2196</v>
          </cell>
          <cell r="F148">
            <v>1112</v>
          </cell>
          <cell r="G148">
            <v>1187</v>
          </cell>
          <cell r="H148">
            <v>1420</v>
          </cell>
          <cell r="I148">
            <v>1678</v>
          </cell>
        </row>
        <row r="149">
          <cell r="B149" t="str">
            <v>NP: Gerontology/Elder Health</v>
          </cell>
          <cell r="C149">
            <v>6</v>
          </cell>
          <cell r="D149">
            <v>13</v>
          </cell>
          <cell r="E149">
            <v>1583</v>
          </cell>
          <cell r="F149">
            <v>1119</v>
          </cell>
          <cell r="G149">
            <v>563</v>
          </cell>
          <cell r="H149">
            <v>744</v>
          </cell>
          <cell r="I149">
            <v>1150</v>
          </cell>
        </row>
        <row r="150">
          <cell r="B150" t="str">
            <v>NP: Hematology/Oncology</v>
          </cell>
          <cell r="C150">
            <v>8</v>
          </cell>
          <cell r="D150">
            <v>57</v>
          </cell>
          <cell r="E150">
            <v>1289</v>
          </cell>
          <cell r="F150">
            <v>901</v>
          </cell>
          <cell r="G150">
            <v>299</v>
          </cell>
          <cell r="H150">
            <v>568</v>
          </cell>
          <cell r="I150">
            <v>1074</v>
          </cell>
        </row>
        <row r="151">
          <cell r="B151" t="str">
            <v>NP: Hospitalist</v>
          </cell>
          <cell r="C151">
            <v>2</v>
          </cell>
          <cell r="D151">
            <v>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 t="str">
            <v>NP: Internal Medicine</v>
          </cell>
          <cell r="C152">
            <v>6</v>
          </cell>
          <cell r="D152">
            <v>17</v>
          </cell>
          <cell r="E152">
            <v>1871</v>
          </cell>
          <cell r="F152">
            <v>1340</v>
          </cell>
          <cell r="G152">
            <v>507</v>
          </cell>
          <cell r="H152">
            <v>656</v>
          </cell>
          <cell r="I152">
            <v>1364</v>
          </cell>
        </row>
        <row r="153">
          <cell r="B153" t="str">
            <v>NP: Neonatal/Perinatal</v>
          </cell>
          <cell r="C153">
            <v>4</v>
          </cell>
          <cell r="D153">
            <v>16</v>
          </cell>
          <cell r="E153">
            <v>384</v>
          </cell>
          <cell r="F153">
            <v>129</v>
          </cell>
          <cell r="G153">
            <v>200</v>
          </cell>
          <cell r="H153">
            <v>287</v>
          </cell>
          <cell r="I153">
            <v>424</v>
          </cell>
        </row>
        <row r="154">
          <cell r="B154" t="str">
            <v>NP: Neurology</v>
          </cell>
          <cell r="C154">
            <v>8</v>
          </cell>
          <cell r="D154">
            <v>24</v>
          </cell>
          <cell r="E154">
            <v>1817</v>
          </cell>
          <cell r="F154">
            <v>752</v>
          </cell>
          <cell r="G154">
            <v>1117</v>
          </cell>
          <cell r="H154">
            <v>1309</v>
          </cell>
          <cell r="I154">
            <v>1639</v>
          </cell>
        </row>
        <row r="155">
          <cell r="B155" t="str">
            <v>NP: Neurosurgery</v>
          </cell>
          <cell r="C155">
            <v>2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 t="str">
            <v>NP: Pediatric/Child Health</v>
          </cell>
          <cell r="C156">
            <v>6</v>
          </cell>
          <cell r="D156">
            <v>51</v>
          </cell>
          <cell r="E156">
            <v>1670</v>
          </cell>
          <cell r="F156">
            <v>840</v>
          </cell>
          <cell r="G156">
            <v>463</v>
          </cell>
          <cell r="H156">
            <v>957</v>
          </cell>
          <cell r="I156">
            <v>1684</v>
          </cell>
        </row>
        <row r="157">
          <cell r="B157" t="str">
            <v>NP: Psychiatry</v>
          </cell>
          <cell r="C157">
            <v>4</v>
          </cell>
          <cell r="D157">
            <v>12</v>
          </cell>
          <cell r="E157">
            <v>2375</v>
          </cell>
          <cell r="F157">
            <v>1137</v>
          </cell>
          <cell r="G157">
            <v>430</v>
          </cell>
          <cell r="H157">
            <v>1435</v>
          </cell>
          <cell r="I157">
            <v>2675</v>
          </cell>
        </row>
        <row r="158">
          <cell r="B158" t="str">
            <v>NP: OB/GYN/Women's Health</v>
          </cell>
          <cell r="C158">
            <v>3</v>
          </cell>
          <cell r="D158">
            <v>14</v>
          </cell>
          <cell r="E158">
            <v>3250</v>
          </cell>
          <cell r="F158">
            <v>998</v>
          </cell>
          <cell r="G158">
            <v>1568</v>
          </cell>
          <cell r="H158">
            <v>2503</v>
          </cell>
          <cell r="I158">
            <v>3325</v>
          </cell>
        </row>
        <row r="159">
          <cell r="B159" t="str">
            <v>NP: Orthopedics</v>
          </cell>
          <cell r="C159">
            <v>1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 t="str">
            <v>NP: Pulmonary Medicine</v>
          </cell>
          <cell r="C160">
            <v>5</v>
          </cell>
          <cell r="D160">
            <v>12</v>
          </cell>
          <cell r="E160">
            <v>1467</v>
          </cell>
          <cell r="F160">
            <v>1052</v>
          </cell>
          <cell r="G160">
            <v>295</v>
          </cell>
          <cell r="H160">
            <v>564</v>
          </cell>
          <cell r="I160">
            <v>1257</v>
          </cell>
        </row>
        <row r="161">
          <cell r="B161" t="str">
            <v>Nurse Practitioner (Surgical)</v>
          </cell>
          <cell r="C161">
            <v>9</v>
          </cell>
          <cell r="D161">
            <v>20</v>
          </cell>
          <cell r="E161">
            <v>1709</v>
          </cell>
          <cell r="F161">
            <v>1127</v>
          </cell>
          <cell r="G161">
            <v>457</v>
          </cell>
          <cell r="H161">
            <v>720</v>
          </cell>
          <cell r="I161">
            <v>1453</v>
          </cell>
        </row>
        <row r="162">
          <cell r="B162" t="str">
            <v>Nurse Practitioner (Primary Care)</v>
          </cell>
          <cell r="C162">
            <v>5</v>
          </cell>
          <cell r="D162">
            <v>33</v>
          </cell>
          <cell r="E162">
            <v>1893</v>
          </cell>
          <cell r="F162">
            <v>1119</v>
          </cell>
          <cell r="G162">
            <v>730</v>
          </cell>
          <cell r="H162">
            <v>943</v>
          </cell>
          <cell r="I162">
            <v>1546</v>
          </cell>
        </row>
        <row r="163">
          <cell r="B163" t="str">
            <v>Nurse Practitioner (Nonsurgical/Nonprimary Care)</v>
          </cell>
          <cell r="C163">
            <v>13</v>
          </cell>
          <cell r="D163">
            <v>38</v>
          </cell>
          <cell r="E163">
            <v>2069</v>
          </cell>
          <cell r="F163">
            <v>769</v>
          </cell>
          <cell r="G163">
            <v>1191</v>
          </cell>
          <cell r="H163">
            <v>1442</v>
          </cell>
          <cell r="I163">
            <v>2061</v>
          </cell>
        </row>
        <row r="164">
          <cell r="B164" t="str">
            <v>Occupational Therapist</v>
          </cell>
          <cell r="C164">
            <v>1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 t="str">
            <v>Optometrist</v>
          </cell>
          <cell r="C165">
            <v>7</v>
          </cell>
          <cell r="D165">
            <v>18</v>
          </cell>
          <cell r="E165">
            <v>2935</v>
          </cell>
          <cell r="F165">
            <v>1121</v>
          </cell>
          <cell r="G165">
            <v>1592</v>
          </cell>
          <cell r="H165">
            <v>1690</v>
          </cell>
          <cell r="I165">
            <v>2764</v>
          </cell>
        </row>
        <row r="166">
          <cell r="B166" t="str">
            <v>PhD</v>
          </cell>
          <cell r="C166">
            <v>2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Physical Therapist</v>
          </cell>
          <cell r="C167">
            <v>1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Physician Assistant (Surgical)</v>
          </cell>
          <cell r="C168">
            <v>6</v>
          </cell>
          <cell r="D168">
            <v>25</v>
          </cell>
          <cell r="E168">
            <v>935</v>
          </cell>
          <cell r="F168">
            <v>1016</v>
          </cell>
          <cell r="G168">
            <v>206</v>
          </cell>
          <cell r="H168">
            <v>258</v>
          </cell>
          <cell r="I168">
            <v>480</v>
          </cell>
        </row>
        <row r="169">
          <cell r="B169" t="str">
            <v>PA: Orthopedic (Surgical)</v>
          </cell>
          <cell r="C169">
            <v>3</v>
          </cell>
          <cell r="D169">
            <v>19</v>
          </cell>
          <cell r="E169">
            <v>2140</v>
          </cell>
          <cell r="F169">
            <v>921</v>
          </cell>
          <cell r="G169">
            <v>1104</v>
          </cell>
          <cell r="H169">
            <v>1296</v>
          </cell>
          <cell r="I169">
            <v>1731</v>
          </cell>
        </row>
        <row r="170">
          <cell r="B170" t="str">
            <v>PA: Surgery: General</v>
          </cell>
          <cell r="C170">
            <v>1</v>
          </cell>
          <cell r="D170">
            <v>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PA: Cardiothoracic Surgery</v>
          </cell>
          <cell r="C171">
            <v>5</v>
          </cell>
          <cell r="D171">
            <v>10</v>
          </cell>
          <cell r="E171">
            <v>343</v>
          </cell>
          <cell r="F171">
            <v>226</v>
          </cell>
          <cell r="G171">
            <v>106</v>
          </cell>
          <cell r="H171">
            <v>149</v>
          </cell>
          <cell r="I171">
            <v>322</v>
          </cell>
        </row>
        <row r="172">
          <cell r="B172" t="str">
            <v>PA: Neurosurgery</v>
          </cell>
          <cell r="C172">
            <v>3</v>
          </cell>
          <cell r="D172">
            <v>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 t="str">
            <v>Physician Assistant (Primary Care)</v>
          </cell>
          <cell r="C173">
            <v>7</v>
          </cell>
          <cell r="D173">
            <v>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 t="str">
            <v>PA: Family Medicine (with OB)</v>
          </cell>
          <cell r="C174">
            <v>4</v>
          </cell>
          <cell r="D174">
            <v>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 t="str">
            <v>PA: Family Medicine (without OB)</v>
          </cell>
          <cell r="C175">
            <v>5</v>
          </cell>
          <cell r="D175">
            <v>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 t="str">
            <v>PA: Internal Medicine</v>
          </cell>
          <cell r="C176">
            <v>3</v>
          </cell>
          <cell r="D176">
            <v>13</v>
          </cell>
          <cell r="E176">
            <v>978</v>
          </cell>
          <cell r="F176">
            <v>723</v>
          </cell>
          <cell r="G176">
            <v>133</v>
          </cell>
          <cell r="H176">
            <v>491</v>
          </cell>
          <cell r="I176">
            <v>746</v>
          </cell>
        </row>
        <row r="177">
          <cell r="B177" t="str">
            <v>PA: Pediatric</v>
          </cell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 t="str">
            <v>PA: OB/GYN/Women's Health</v>
          </cell>
          <cell r="C178">
            <v>2</v>
          </cell>
          <cell r="D178">
            <v>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 t="str">
            <v>Physician Assistant (Nonsurgical/Nonprimary Care)</v>
          </cell>
          <cell r="C179">
            <v>10</v>
          </cell>
          <cell r="D179">
            <v>29</v>
          </cell>
          <cell r="E179">
            <v>1790</v>
          </cell>
          <cell r="F179">
            <v>1020</v>
          </cell>
          <cell r="G179">
            <v>582</v>
          </cell>
          <cell r="H179">
            <v>895</v>
          </cell>
          <cell r="I179">
            <v>1794</v>
          </cell>
        </row>
        <row r="180">
          <cell r="B180" t="str">
            <v>PA: Dermatology</v>
          </cell>
          <cell r="C180">
            <v>1</v>
          </cell>
          <cell r="D180">
            <v>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 t="str">
            <v>PA: Emergency Medicine</v>
          </cell>
          <cell r="C181">
            <v>2</v>
          </cell>
          <cell r="D181">
            <v>25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 t="str">
            <v>PA: Gastroenterology</v>
          </cell>
          <cell r="C182">
            <v>3</v>
          </cell>
          <cell r="D182">
            <v>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 t="str">
            <v>PA: Neurology</v>
          </cell>
          <cell r="C183">
            <v>3</v>
          </cell>
          <cell r="D183">
            <v>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 t="str">
            <v>PA: Orthopedic (Nonsurgical/Nonprimary Care)</v>
          </cell>
          <cell r="C184">
            <v>2</v>
          </cell>
          <cell r="D184">
            <v>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 t="str">
            <v>PA: Pulmonary Medicine</v>
          </cell>
          <cell r="C185">
            <v>1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PA: Urgent Care (Nonsurgical/Nonprimary Care)</v>
          </cell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Psychologist</v>
          </cell>
          <cell r="C187">
            <v>30</v>
          </cell>
          <cell r="D187">
            <v>120</v>
          </cell>
          <cell r="E187">
            <v>2574</v>
          </cell>
          <cell r="F187">
            <v>1123</v>
          </cell>
          <cell r="G187">
            <v>1163</v>
          </cell>
          <cell r="H187">
            <v>1804</v>
          </cell>
          <cell r="I187">
            <v>2489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lair, Jennifer A" id="{1EE94F14-F03F-4481-B002-8ADC4BDA8C3E}" userId="S::jablair@ad.unc.edu::146c5e51-25f9-4360-9c78-4c5413db570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3" dT="2020-06-03T02:06:02.49" personId="{1EE94F14-F03F-4481-B002-8ADC4BDA8C3E}" id="{834E9EC3-731E-4496-80AE-4E632902F814}">
    <text>Ex: core facility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289"/>
  <sheetViews>
    <sheetView showGridLines="0" tabSelected="1" zoomScale="80" zoomScaleNormal="80" workbookViewId="0">
      <selection sqref="A1:B1"/>
    </sheetView>
  </sheetViews>
  <sheetFormatPr defaultColWidth="9.140625" defaultRowHeight="14.25" customHeight="1"/>
  <cols>
    <col min="1" max="1" width="19" style="154" customWidth="1"/>
    <col min="2" max="2" width="49.85546875" style="126" bestFit="1" customWidth="1"/>
    <col min="3" max="3" width="14.42578125" style="126" customWidth="1"/>
    <col min="4" max="4" width="1.42578125" style="126" customWidth="1"/>
    <col min="5" max="5" width="31.5703125" style="126" bestFit="1" customWidth="1"/>
    <col min="6" max="6" width="12" style="126" bestFit="1" customWidth="1"/>
    <col min="7" max="7" width="1.85546875" style="126" customWidth="1"/>
    <col min="8" max="8" width="25.85546875" style="126" bestFit="1" customWidth="1"/>
    <col min="9" max="9" width="11.42578125" style="126" customWidth="1"/>
    <col min="10" max="10" width="1.5703125" style="126" customWidth="1"/>
    <col min="11" max="11" width="28.85546875" style="126" customWidth="1"/>
    <col min="12" max="12" width="14.42578125" style="126" customWidth="1"/>
    <col min="13" max="13" width="4.85546875" style="126" customWidth="1"/>
    <col min="14" max="14" width="7.42578125" style="126" customWidth="1"/>
    <col min="15" max="15" width="84.5703125" style="125" bestFit="1" customWidth="1"/>
    <col min="16" max="47" width="9.140625" style="125"/>
    <col min="48" max="16384" width="9.140625" style="126"/>
  </cols>
  <sheetData>
    <row r="1" spans="1:47" s="128" customFormat="1" ht="15.75" customHeight="1">
      <c r="A1" s="214" t="s">
        <v>317</v>
      </c>
      <c r="B1" s="214"/>
      <c r="D1" s="129"/>
      <c r="E1" s="129"/>
      <c r="F1" s="129"/>
      <c r="G1" s="129"/>
      <c r="H1" s="129"/>
      <c r="I1" s="129"/>
      <c r="J1" s="129"/>
      <c r="K1" s="4"/>
      <c r="L1" s="4"/>
      <c r="M1" s="5" t="s">
        <v>21</v>
      </c>
      <c r="N1" s="130">
        <v>1</v>
      </c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</row>
    <row r="2" spans="1:47" s="128" customFormat="1" ht="15.75" customHeight="1">
      <c r="A2" s="193" t="s">
        <v>339</v>
      </c>
      <c r="B2" s="193"/>
      <c r="D2" s="132"/>
      <c r="E2" s="132"/>
      <c r="F2" s="132"/>
      <c r="G2" s="132"/>
      <c r="H2" s="132"/>
      <c r="I2" s="132"/>
      <c r="J2" s="132"/>
      <c r="K2" s="132"/>
      <c r="L2" s="132"/>
      <c r="M2" s="5" t="s">
        <v>22</v>
      </c>
      <c r="N2" s="133">
        <v>0</v>
      </c>
      <c r="O2" s="123" t="s">
        <v>18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</row>
    <row r="3" spans="1:47" s="128" customFormat="1" ht="15.75" customHeight="1">
      <c r="A3" s="134"/>
      <c r="B3" s="135" t="e">
        <f>INDEX(Lists!$H:$H,MATCH(Proforma!A3,Lists!$G:$G,0))</f>
        <v>#N/A</v>
      </c>
      <c r="D3" s="132"/>
      <c r="E3" s="132"/>
      <c r="F3" s="132"/>
      <c r="G3" s="132"/>
      <c r="H3" s="132"/>
      <c r="I3" s="132"/>
      <c r="J3" s="132"/>
      <c r="K3" s="132"/>
      <c r="L3" s="132"/>
      <c r="M3" s="136" t="s">
        <v>294</v>
      </c>
      <c r="N3" s="130">
        <v>0</v>
      </c>
      <c r="O3" s="123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</row>
    <row r="4" spans="1:47" s="124" customFormat="1" ht="18.7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</row>
    <row r="5" spans="1:47" s="124" customFormat="1" ht="6.75" customHeight="1">
      <c r="A5" s="137"/>
      <c r="O5" s="122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6" spans="1:47" s="124" customFormat="1" ht="6.75" customHeight="1" thickBot="1">
      <c r="A6" s="137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</row>
    <row r="7" spans="1:47" s="124" customFormat="1" ht="26.25" thickBot="1">
      <c r="A7" s="137"/>
      <c r="B7" s="138" t="s">
        <v>184</v>
      </c>
      <c r="C7" s="106"/>
      <c r="E7" s="138" t="s">
        <v>186</v>
      </c>
      <c r="F7" s="110"/>
      <c r="H7" s="139" t="s">
        <v>382</v>
      </c>
      <c r="I7" s="104">
        <f>SUM(F7:F10)</f>
        <v>0</v>
      </c>
      <c r="K7" s="140" t="s">
        <v>335</v>
      </c>
      <c r="L7" s="109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</row>
    <row r="8" spans="1:47" s="124" customFormat="1" ht="39" thickBot="1">
      <c r="A8" s="137"/>
      <c r="B8" s="141" t="s">
        <v>328</v>
      </c>
      <c r="C8" s="107"/>
      <c r="E8" s="142" t="s">
        <v>0</v>
      </c>
      <c r="F8" s="107"/>
      <c r="H8" s="143" t="s">
        <v>321</v>
      </c>
      <c r="I8" s="105">
        <f>I7-SUM(I9:I13)</f>
        <v>0</v>
      </c>
      <c r="K8" s="140" t="s">
        <v>334</v>
      </c>
      <c r="L8" s="109"/>
      <c r="O8" s="122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</row>
    <row r="9" spans="1:47" s="124" customFormat="1" ht="13.5" thickBot="1">
      <c r="A9" s="137"/>
      <c r="B9" s="144" t="s">
        <v>318</v>
      </c>
      <c r="C9" s="108"/>
      <c r="E9" s="142" t="s">
        <v>187</v>
      </c>
      <c r="F9" s="107"/>
      <c r="H9" s="142" t="s">
        <v>329</v>
      </c>
      <c r="I9" s="99">
        <v>0</v>
      </c>
      <c r="K9" s="144" t="s">
        <v>322</v>
      </c>
      <c r="L9" s="112"/>
      <c r="O9" s="145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</row>
    <row r="10" spans="1:47" s="124" customFormat="1" ht="13.5" thickBot="1">
      <c r="A10" s="137"/>
      <c r="B10" s="144" t="s">
        <v>324</v>
      </c>
      <c r="C10" s="108">
        <v>0</v>
      </c>
      <c r="E10" s="146" t="s">
        <v>287</v>
      </c>
      <c r="F10" s="100">
        <f>(SUM(F7:F9))*Lists!M17</f>
        <v>0</v>
      </c>
      <c r="H10" s="142" t="s">
        <v>330</v>
      </c>
      <c r="I10" s="105">
        <f>IF(SUM(F7+F8)&gt;Lists!$M$11,(Lists!M11*Proforma!N3)+((Lists!$M$11*Proforma!$N$3)*Lists!M17),((Proforma!$F$7+Proforma!$F$8)*Proforma!$N$3)+(((Proforma!$F$7+Proforma!$F$8)*Proforma!$N$3)*Lists!$M$17))</f>
        <v>0</v>
      </c>
      <c r="K10" s="144" t="s">
        <v>323</v>
      </c>
      <c r="L10" s="11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</row>
    <row r="11" spans="1:47" s="124" customFormat="1" ht="13.5" thickBot="1">
      <c r="A11" s="137"/>
      <c r="B11" s="142" t="s">
        <v>327</v>
      </c>
      <c r="C11" s="109"/>
      <c r="E11" s="147" t="s">
        <v>296</v>
      </c>
      <c r="F11" s="109"/>
      <c r="H11" s="142" t="s">
        <v>331</v>
      </c>
      <c r="I11" s="99">
        <v>0</v>
      </c>
      <c r="K11" s="144" t="s">
        <v>239</v>
      </c>
      <c r="L11" s="112"/>
      <c r="O11" s="145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</row>
    <row r="12" spans="1:47" s="124" customFormat="1" ht="13.5" thickBot="1">
      <c r="A12" s="137"/>
      <c r="B12" s="142" t="s">
        <v>336</v>
      </c>
      <c r="C12" s="109"/>
      <c r="E12" s="147" t="s">
        <v>297</v>
      </c>
      <c r="F12" s="109"/>
      <c r="H12" s="142" t="s">
        <v>332</v>
      </c>
      <c r="I12" s="105">
        <f>IF(SUM($F$7+$F$8)&gt;Lists!$M$11,((Proforma!$F$7+Proforma!$F$8-Lists!$M$11)*Proforma!$N$3)+(((Proforma!$F$7+Proforma!$F$8-Lists!$M$11)*Proforma!$N$3)*Lists!M202),0)</f>
        <v>0</v>
      </c>
      <c r="K12" s="144" t="s">
        <v>239</v>
      </c>
      <c r="L12" s="112"/>
      <c r="O12" s="14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</row>
    <row r="13" spans="1:47" s="124" customFormat="1" ht="13.5" thickBot="1">
      <c r="A13" s="137"/>
      <c r="B13" s="142" t="s">
        <v>326</v>
      </c>
      <c r="C13" s="109"/>
      <c r="E13" s="147" t="s">
        <v>298</v>
      </c>
      <c r="F13" s="111"/>
      <c r="H13" s="142" t="s">
        <v>333</v>
      </c>
      <c r="I13" s="99"/>
      <c r="K13" s="144" t="s">
        <v>239</v>
      </c>
      <c r="L13" s="112"/>
      <c r="O13" s="14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</row>
    <row r="14" spans="1:47" s="124" customFormat="1" ht="12.75">
      <c r="A14" s="148"/>
      <c r="I14" s="149"/>
      <c r="O14" s="14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</row>
    <row r="15" spans="1:47" s="124" customFormat="1" ht="12.75">
      <c r="A15" s="113"/>
      <c r="B15" s="114"/>
      <c r="C15" s="115"/>
      <c r="D15" s="116"/>
      <c r="E15" s="117"/>
      <c r="F15" s="118"/>
      <c r="G15" s="116"/>
      <c r="H15" s="119"/>
      <c r="I15" s="95"/>
      <c r="J15" s="120"/>
      <c r="K15" s="120"/>
      <c r="L15" s="121"/>
      <c r="M15" s="120"/>
      <c r="N15" s="120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</row>
    <row r="16" spans="1:47" s="124" customFormat="1" ht="12.75">
      <c r="A16" s="113"/>
      <c r="B16" s="114"/>
      <c r="C16" s="115"/>
      <c r="D16" s="116"/>
      <c r="E16" s="117"/>
      <c r="F16" s="118"/>
      <c r="G16" s="116"/>
      <c r="H16" s="119"/>
      <c r="I16" s="95"/>
      <c r="J16" s="120"/>
      <c r="K16" s="120"/>
      <c r="L16" s="121"/>
      <c r="M16" s="120"/>
      <c r="N16" s="120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</row>
    <row r="17" spans="1:47" s="209" customFormat="1" ht="12.75">
      <c r="A17" s="165"/>
      <c r="B17" s="206"/>
      <c r="C17" s="188" t="s">
        <v>191</v>
      </c>
      <c r="D17" s="189"/>
      <c r="E17" s="189"/>
      <c r="F17" s="188" t="s">
        <v>192</v>
      </c>
      <c r="G17" s="189"/>
      <c r="H17" s="189"/>
      <c r="I17" s="188" t="s">
        <v>193</v>
      </c>
      <c r="J17" s="189"/>
      <c r="K17" s="188" t="s">
        <v>198</v>
      </c>
      <c r="L17" s="189"/>
      <c r="M17" s="186"/>
      <c r="N17" s="186"/>
      <c r="O17" s="207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</row>
    <row r="18" spans="1:47" s="209" customFormat="1" ht="12.75">
      <c r="A18" s="165"/>
      <c r="B18" s="210" t="s">
        <v>284</v>
      </c>
      <c r="C18" s="211">
        <v>1</v>
      </c>
      <c r="D18" s="212"/>
      <c r="E18" s="212"/>
      <c r="F18" s="211">
        <v>1</v>
      </c>
      <c r="G18" s="212"/>
      <c r="H18" s="212"/>
      <c r="I18" s="211">
        <v>1</v>
      </c>
      <c r="J18" s="189"/>
      <c r="K18" s="188"/>
      <c r="L18" s="189"/>
      <c r="M18" s="186"/>
      <c r="N18" s="186"/>
      <c r="O18" s="207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</row>
    <row r="19" spans="1:47" s="162" customFormat="1" ht="14.25" customHeight="1">
      <c r="A19" s="165"/>
      <c r="B19" s="187"/>
      <c r="C19" s="188"/>
      <c r="D19" s="189"/>
      <c r="E19" s="189"/>
      <c r="F19" s="188"/>
      <c r="G19" s="189"/>
      <c r="H19" s="189"/>
      <c r="I19" s="188"/>
      <c r="J19" s="156"/>
      <c r="K19" s="188"/>
      <c r="L19" s="156"/>
      <c r="M19" s="190"/>
      <c r="N19" s="160"/>
      <c r="O19" s="161"/>
      <c r="R19" s="191"/>
    </row>
    <row r="20" spans="1:47" s="162" customFormat="1" ht="14.25" customHeight="1">
      <c r="A20" s="165"/>
      <c r="B20" s="186" t="s">
        <v>189</v>
      </c>
      <c r="C20" s="156"/>
      <c r="D20" s="156"/>
      <c r="E20" s="156"/>
      <c r="F20" s="156"/>
      <c r="G20" s="156"/>
      <c r="H20" s="156"/>
      <c r="I20" s="156"/>
      <c r="J20" s="156"/>
      <c r="K20" s="174"/>
      <c r="L20" s="156"/>
      <c r="M20" s="190"/>
      <c r="N20" s="160"/>
      <c r="O20" s="161"/>
    </row>
    <row r="21" spans="1:47" s="162" customFormat="1" ht="14.25" customHeight="1">
      <c r="A21" s="165"/>
      <c r="B21" s="192" t="s">
        <v>196</v>
      </c>
      <c r="C21" s="156"/>
      <c r="D21" s="156"/>
      <c r="E21" s="156"/>
      <c r="F21" s="156"/>
      <c r="G21" s="156"/>
      <c r="H21" s="156"/>
      <c r="I21" s="156"/>
      <c r="J21" s="156"/>
      <c r="K21" s="174"/>
      <c r="L21" s="156"/>
      <c r="M21" s="190"/>
      <c r="N21" s="160"/>
      <c r="O21" s="161"/>
    </row>
    <row r="22" spans="1:47" s="162" customFormat="1" ht="14.25" customHeight="1">
      <c r="A22" s="155"/>
      <c r="B22" s="3" t="s">
        <v>337</v>
      </c>
      <c r="C22" s="156">
        <f>$C$8*$C$18</f>
        <v>0</v>
      </c>
      <c r="D22" s="157"/>
      <c r="E22" s="156"/>
      <c r="F22" s="156">
        <f>$C$8*$C$18</f>
        <v>0</v>
      </c>
      <c r="G22" s="156"/>
      <c r="H22" s="156"/>
      <c r="I22" s="156">
        <f>$C$8*$C$18</f>
        <v>0</v>
      </c>
      <c r="J22" s="156"/>
      <c r="K22" s="158">
        <f t="shared" ref="K22:K27" si="0">SUM(C22,F22,I22)</f>
        <v>0</v>
      </c>
      <c r="L22" s="156"/>
      <c r="M22" s="159"/>
      <c r="N22" s="160"/>
      <c r="O22" s="161"/>
    </row>
    <row r="23" spans="1:47" s="162" customFormat="1" ht="14.25" customHeight="1">
      <c r="A23" s="155"/>
      <c r="B23" s="3" t="s">
        <v>318</v>
      </c>
      <c r="C23" s="156">
        <f>$C$9</f>
        <v>0</v>
      </c>
      <c r="D23" s="157"/>
      <c r="E23" s="156"/>
      <c r="F23" s="156">
        <f>$C$9</f>
        <v>0</v>
      </c>
      <c r="G23" s="156"/>
      <c r="H23" s="156"/>
      <c r="I23" s="156">
        <f>$C$9</f>
        <v>0</v>
      </c>
      <c r="J23" s="156"/>
      <c r="K23" s="158">
        <f t="shared" si="0"/>
        <v>0</v>
      </c>
      <c r="L23" s="156"/>
      <c r="M23" s="159"/>
      <c r="N23" s="160"/>
      <c r="O23" s="161"/>
    </row>
    <row r="24" spans="1:47" s="162" customFormat="1" ht="14.25" customHeight="1">
      <c r="A24" s="155"/>
      <c r="B24" s="3" t="s">
        <v>324</v>
      </c>
      <c r="C24" s="156">
        <v>0</v>
      </c>
      <c r="D24" s="157"/>
      <c r="E24" s="156"/>
      <c r="F24" s="156">
        <f>$C$10*F18</f>
        <v>0</v>
      </c>
      <c r="G24" s="156"/>
      <c r="H24" s="156"/>
      <c r="I24" s="156">
        <f>$C$10*I18</f>
        <v>0</v>
      </c>
      <c r="J24" s="156"/>
      <c r="K24" s="158">
        <f t="shared" si="0"/>
        <v>0</v>
      </c>
      <c r="L24" s="156"/>
      <c r="M24" s="159"/>
      <c r="N24" s="160"/>
      <c r="O24" s="161"/>
    </row>
    <row r="25" spans="1:47" s="162" customFormat="1" ht="14.25" customHeight="1">
      <c r="A25" s="155"/>
      <c r="B25" s="3" t="s">
        <v>290</v>
      </c>
      <c r="C25" s="156">
        <f>$C$11*C$18</f>
        <v>0</v>
      </c>
      <c r="D25" s="157"/>
      <c r="E25" s="156"/>
      <c r="F25" s="156">
        <f>$C$11*F$18</f>
        <v>0</v>
      </c>
      <c r="G25" s="156"/>
      <c r="H25" s="156"/>
      <c r="I25" s="156">
        <f>$C$11*I$18</f>
        <v>0</v>
      </c>
      <c r="J25" s="156"/>
      <c r="K25" s="158">
        <f t="shared" si="0"/>
        <v>0</v>
      </c>
      <c r="L25" s="156"/>
      <c r="M25" s="159"/>
      <c r="N25" s="160"/>
      <c r="O25" s="161"/>
    </row>
    <row r="26" spans="1:47" s="162" customFormat="1" ht="14.25" customHeight="1">
      <c r="A26" s="155"/>
      <c r="B26" s="3" t="s">
        <v>291</v>
      </c>
      <c r="C26" s="156">
        <f>$C$12*$C$18</f>
        <v>0</v>
      </c>
      <c r="D26" s="157"/>
      <c r="E26" s="156"/>
      <c r="F26" s="156">
        <f>$C$12*$F$18</f>
        <v>0</v>
      </c>
      <c r="G26" s="156"/>
      <c r="H26" s="156"/>
      <c r="I26" s="156">
        <f>$C$12*$I$18</f>
        <v>0</v>
      </c>
      <c r="J26" s="156"/>
      <c r="K26" s="158">
        <f t="shared" si="0"/>
        <v>0</v>
      </c>
      <c r="L26" s="156"/>
      <c r="M26" s="159"/>
      <c r="N26" s="160"/>
      <c r="O26" s="161"/>
    </row>
    <row r="27" spans="1:47" s="162" customFormat="1" ht="14.25" customHeight="1">
      <c r="A27" s="155"/>
      <c r="B27" s="3" t="s">
        <v>293</v>
      </c>
      <c r="C27" s="156">
        <f>C13</f>
        <v>0</v>
      </c>
      <c r="D27" s="157"/>
      <c r="E27" s="156"/>
      <c r="F27" s="156">
        <v>0</v>
      </c>
      <c r="G27" s="156"/>
      <c r="H27" s="156"/>
      <c r="I27" s="156">
        <v>0</v>
      </c>
      <c r="J27" s="156"/>
      <c r="K27" s="158">
        <f t="shared" si="0"/>
        <v>0</v>
      </c>
      <c r="L27" s="156"/>
      <c r="M27" s="159"/>
      <c r="N27" s="160"/>
      <c r="O27" s="161"/>
    </row>
    <row r="28" spans="1:47" s="162" customFormat="1" ht="14.25" customHeight="1" thickBot="1">
      <c r="A28" s="155"/>
      <c r="B28" s="163" t="s">
        <v>12</v>
      </c>
      <c r="C28" s="164">
        <f>SUM(C22:D27)</f>
        <v>0</v>
      </c>
      <c r="D28" s="157"/>
      <c r="E28" s="156"/>
      <c r="F28" s="164">
        <f>SUM(F22:G27)</f>
        <v>0</v>
      </c>
      <c r="G28" s="157"/>
      <c r="H28" s="157"/>
      <c r="I28" s="164">
        <f>SUM(I22:J27)</f>
        <v>0</v>
      </c>
      <c r="J28" s="156"/>
      <c r="K28" s="164">
        <f>SUM(K22:L27)</f>
        <v>0</v>
      </c>
      <c r="L28" s="156"/>
      <c r="M28" s="159"/>
      <c r="N28" s="160"/>
      <c r="O28" s="161"/>
    </row>
    <row r="29" spans="1:47" s="162" customFormat="1" ht="12.75">
      <c r="A29" s="165"/>
      <c r="B29" s="166"/>
      <c r="C29" s="157"/>
      <c r="D29" s="156"/>
      <c r="E29" s="157"/>
      <c r="F29" s="157"/>
      <c r="G29" s="156"/>
      <c r="H29" s="156"/>
      <c r="I29" s="157"/>
      <c r="J29" s="157"/>
      <c r="K29" s="156"/>
      <c r="L29" s="157"/>
      <c r="M29" s="167"/>
      <c r="N29" s="168"/>
    </row>
    <row r="30" spans="1:47" s="162" customFormat="1" ht="11.45" customHeight="1">
      <c r="A30" s="165"/>
      <c r="B30" s="169" t="s">
        <v>197</v>
      </c>
      <c r="C30" s="157"/>
      <c r="D30" s="156"/>
      <c r="E30" s="156"/>
      <c r="F30" s="157"/>
      <c r="G30" s="170"/>
      <c r="H30" s="170"/>
      <c r="I30" s="157"/>
      <c r="J30" s="157"/>
      <c r="K30" s="158"/>
      <c r="L30" s="157"/>
      <c r="M30" s="167"/>
      <c r="N30" s="168"/>
      <c r="O30" s="171"/>
    </row>
    <row r="31" spans="1:47" s="162" customFormat="1" ht="11.45" customHeight="1">
      <c r="A31" s="165"/>
      <c r="B31" s="172" t="s">
        <v>338</v>
      </c>
      <c r="C31" s="156">
        <f>Lists!Q6</f>
        <v>0</v>
      </c>
      <c r="D31" s="156"/>
      <c r="E31" s="156"/>
      <c r="F31" s="156">
        <f>SUM(F7:F10)</f>
        <v>0</v>
      </c>
      <c r="G31" s="170"/>
      <c r="H31" s="170"/>
      <c r="I31" s="156">
        <f>SUM(F7:F10)</f>
        <v>0</v>
      </c>
      <c r="J31" s="157"/>
      <c r="K31" s="158">
        <f>SUM(C31,F31,I31)</f>
        <v>0</v>
      </c>
      <c r="L31" s="157"/>
      <c r="M31" s="167"/>
      <c r="N31" s="168"/>
      <c r="O31" s="171"/>
    </row>
    <row r="32" spans="1:47" s="162" customFormat="1" ht="11.45" customHeight="1">
      <c r="A32" s="165"/>
      <c r="B32" s="172" t="s">
        <v>299</v>
      </c>
      <c r="C32" s="156">
        <f>SUM($F$11+$F$12)*C18</f>
        <v>0</v>
      </c>
      <c r="D32" s="156"/>
      <c r="E32" s="156"/>
      <c r="F32" s="156">
        <f>SUM($F$11+$F$12)+(F11+F12)*F13</f>
        <v>0</v>
      </c>
      <c r="G32" s="170"/>
      <c r="H32" s="170"/>
      <c r="I32" s="156">
        <f>SUM($F$11+$F$12)+($F$11+$F$12)*$F$13*2</f>
        <v>0</v>
      </c>
      <c r="J32" s="157"/>
      <c r="K32" s="158">
        <f t="shared" ref="K32:K35" si="1">SUM(C32,F32,I32)</f>
        <v>0</v>
      </c>
      <c r="L32" s="157"/>
      <c r="M32" s="167"/>
      <c r="N32" s="168"/>
      <c r="O32" s="171"/>
    </row>
    <row r="33" spans="1:17" s="162" customFormat="1" ht="11.45" customHeight="1">
      <c r="A33" s="165"/>
      <c r="B33" s="172" t="s">
        <v>300</v>
      </c>
      <c r="C33" s="156">
        <f>SUM(L9+L10)</f>
        <v>0</v>
      </c>
      <c r="D33" s="156"/>
      <c r="E33" s="156"/>
      <c r="F33" s="156">
        <v>0</v>
      </c>
      <c r="G33" s="170"/>
      <c r="H33" s="170"/>
      <c r="I33" s="156">
        <v>0</v>
      </c>
      <c r="J33" s="157"/>
      <c r="K33" s="158">
        <f t="shared" si="1"/>
        <v>0</v>
      </c>
      <c r="L33" s="157"/>
      <c r="M33" s="167"/>
      <c r="N33" s="168"/>
      <c r="O33" s="171"/>
    </row>
    <row r="34" spans="1:17" s="162" customFormat="1" ht="11.45" customHeight="1">
      <c r="A34" s="165"/>
      <c r="B34" s="172" t="s">
        <v>239</v>
      </c>
      <c r="C34" s="156">
        <f>SUM($L$7+$L$8+$L$11+$L$12+$L$13)*C$18</f>
        <v>0</v>
      </c>
      <c r="D34" s="156"/>
      <c r="E34" s="156"/>
      <c r="F34" s="156">
        <f>SUM($L$7+$L$8+$L$11+$L$12+$L$13)*F$18+($L$7+$L$8+$L$11+$L$12+$L$13)*$F$13</f>
        <v>0</v>
      </c>
      <c r="G34" s="170"/>
      <c r="H34" s="170"/>
      <c r="I34" s="156">
        <f>SUM($L$7+$L$8+$L$11+$L$12+$L$13)*I$18+($L$7+$L$8+$L$11+$L$12+$L$13)*$F$13*2</f>
        <v>0</v>
      </c>
      <c r="J34" s="157"/>
      <c r="K34" s="158">
        <f>SUM(C34,F34,I34)</f>
        <v>0</v>
      </c>
      <c r="L34" s="157"/>
      <c r="M34" s="167"/>
      <c r="N34" s="168"/>
      <c r="O34" s="171"/>
    </row>
    <row r="35" spans="1:17" s="162" customFormat="1" ht="13.5" thickBot="1">
      <c r="A35" s="165"/>
      <c r="B35" s="173" t="s">
        <v>12</v>
      </c>
      <c r="C35" s="164">
        <f>SUM(C31:C34)</f>
        <v>0</v>
      </c>
      <c r="D35" s="156"/>
      <c r="E35" s="156"/>
      <c r="F35" s="164">
        <f>SUM(F31:F34)</f>
        <v>0</v>
      </c>
      <c r="G35" s="170"/>
      <c r="H35" s="170"/>
      <c r="I35" s="164">
        <f>SUM(I31:I34)</f>
        <v>0</v>
      </c>
      <c r="J35" s="157"/>
      <c r="K35" s="164">
        <f t="shared" si="1"/>
        <v>0</v>
      </c>
      <c r="L35" s="157"/>
      <c r="M35" s="167"/>
      <c r="N35" s="168"/>
      <c r="O35" s="171"/>
    </row>
    <row r="36" spans="1:17" s="162" customFormat="1" ht="11.45" customHeight="1">
      <c r="A36" s="165"/>
      <c r="B36" s="173"/>
      <c r="C36" s="157"/>
      <c r="D36" s="156"/>
      <c r="E36" s="156"/>
      <c r="F36" s="157"/>
      <c r="G36" s="170"/>
      <c r="H36" s="170"/>
      <c r="I36" s="156"/>
      <c r="J36" s="157"/>
      <c r="K36" s="174"/>
      <c r="L36" s="157"/>
      <c r="M36" s="167"/>
      <c r="N36" s="168"/>
      <c r="O36" s="171"/>
    </row>
    <row r="37" spans="1:17" s="162" customFormat="1" ht="11.45" customHeight="1">
      <c r="A37" s="165"/>
      <c r="B37" s="173"/>
      <c r="C37" s="157"/>
      <c r="D37" s="156"/>
      <c r="E37" s="156"/>
      <c r="F37" s="157"/>
      <c r="G37" s="170"/>
      <c r="H37" s="170"/>
      <c r="I37" s="156"/>
      <c r="J37" s="157"/>
      <c r="K37" s="156"/>
      <c r="L37" s="157"/>
      <c r="M37" s="167"/>
      <c r="N37" s="168"/>
      <c r="O37" s="171"/>
    </row>
    <row r="38" spans="1:17" s="162" customFormat="1" ht="14.1" customHeight="1" thickBot="1">
      <c r="A38" s="175"/>
      <c r="B38" s="176" t="s">
        <v>190</v>
      </c>
      <c r="C38" s="177">
        <f>C28-C35</f>
        <v>0</v>
      </c>
      <c r="D38" s="178"/>
      <c r="E38" s="179"/>
      <c r="F38" s="177">
        <f>F28-F35</f>
        <v>0</v>
      </c>
      <c r="G38" s="179"/>
      <c r="H38" s="178"/>
      <c r="I38" s="177">
        <f>I28-I35</f>
        <v>0</v>
      </c>
      <c r="J38" s="178"/>
      <c r="K38" s="177">
        <f>SUM(C38,F38,I38)</f>
        <v>0</v>
      </c>
      <c r="L38" s="179"/>
      <c r="M38" s="180"/>
      <c r="N38" s="179"/>
    </row>
    <row r="39" spans="1:17" s="162" customFormat="1" ht="11.45" customHeight="1" thickTop="1">
      <c r="A39" s="165"/>
      <c r="B39" s="173"/>
      <c r="C39" s="157"/>
      <c r="D39" s="156"/>
      <c r="E39" s="156"/>
      <c r="F39" s="170"/>
      <c r="G39" s="170"/>
      <c r="H39" s="170"/>
      <c r="I39" s="156"/>
      <c r="J39" s="157"/>
      <c r="K39" s="156"/>
      <c r="L39" s="157"/>
      <c r="M39" s="167"/>
      <c r="N39" s="168"/>
      <c r="O39" s="171"/>
    </row>
    <row r="40" spans="1:17" s="162" customFormat="1" ht="12" customHeight="1">
      <c r="A40" s="165"/>
      <c r="B40" s="181"/>
      <c r="C40" s="182"/>
      <c r="D40" s="183"/>
      <c r="E40" s="184"/>
      <c r="F40" s="184"/>
      <c r="G40" s="184"/>
      <c r="H40" s="184"/>
      <c r="I40" s="184"/>
      <c r="J40" s="182"/>
      <c r="K40" s="183"/>
      <c r="L40" s="182"/>
      <c r="M40" s="183"/>
      <c r="N40" s="183"/>
      <c r="O40" s="185"/>
      <c r="P40" s="185"/>
      <c r="Q40" s="185"/>
    </row>
    <row r="41" spans="1:17" s="125" customFormat="1" ht="14.25" customHeight="1">
      <c r="A41" s="202"/>
      <c r="B41" s="126"/>
      <c r="C41" s="121"/>
      <c r="D41" s="120"/>
      <c r="E41" s="120"/>
      <c r="F41" s="120"/>
      <c r="G41" s="120"/>
      <c r="H41" s="120"/>
      <c r="I41" s="120"/>
      <c r="J41" s="121"/>
      <c r="K41" s="120"/>
      <c r="L41" s="121"/>
      <c r="M41" s="120"/>
      <c r="N41" s="120"/>
      <c r="O41" s="127"/>
      <c r="P41" s="127"/>
      <c r="Q41" s="127"/>
    </row>
    <row r="42" spans="1:17" s="125" customFormat="1" ht="14.1" customHeight="1">
      <c r="A42" s="194" t="s">
        <v>9</v>
      </c>
      <c r="B42" s="195" t="s">
        <v>8</v>
      </c>
      <c r="C42" s="196"/>
      <c r="D42" s="196"/>
      <c r="E42" s="197"/>
      <c r="F42" s="197"/>
      <c r="G42" s="197"/>
      <c r="H42" s="196"/>
      <c r="I42" s="196"/>
      <c r="J42" s="196"/>
      <c r="K42" s="196"/>
      <c r="L42" s="196"/>
      <c r="M42" s="196"/>
      <c r="N42" s="196"/>
      <c r="O42" s="198"/>
    </row>
    <row r="43" spans="1:17" s="125" customFormat="1" ht="14.25" customHeight="1">
      <c r="A43" s="194" t="s">
        <v>10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198" t="s">
        <v>325</v>
      </c>
    </row>
    <row r="44" spans="1:17" s="125" customFormat="1" ht="12.75" customHeight="1">
      <c r="A44" s="194" t="s">
        <v>11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198"/>
    </row>
    <row r="45" spans="1:17" s="125" customFormat="1" ht="12.75" customHeight="1">
      <c r="A45" s="194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198"/>
    </row>
    <row r="46" spans="1:17" s="201" customFormat="1" ht="12.75" customHeight="1">
      <c r="A46" s="199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00"/>
    </row>
    <row r="47" spans="1:17" s="125" customFormat="1" ht="14.25" customHeight="1">
      <c r="A47" s="203"/>
      <c r="B47" s="198"/>
      <c r="C47" s="204"/>
      <c r="D47" s="205"/>
      <c r="E47" s="205"/>
      <c r="F47" s="205"/>
      <c r="G47" s="205"/>
      <c r="H47" s="205"/>
      <c r="I47" s="205"/>
      <c r="J47" s="204"/>
      <c r="K47" s="205"/>
      <c r="L47" s="204"/>
      <c r="M47" s="205"/>
      <c r="N47" s="205"/>
      <c r="O47" s="205"/>
      <c r="P47" s="127"/>
      <c r="Q47" s="127"/>
    </row>
    <row r="48" spans="1:17" s="125" customFormat="1" ht="14.25" customHeight="1">
      <c r="A48" s="150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27"/>
      <c r="N48" s="127"/>
      <c r="O48" s="127"/>
      <c r="P48" s="127"/>
      <c r="Q48" s="127"/>
    </row>
    <row r="49" spans="1:9" s="125" customFormat="1" ht="14.25" customHeight="1">
      <c r="A49" s="150"/>
    </row>
    <row r="50" spans="1:9" s="125" customFormat="1" ht="14.25" customHeight="1">
      <c r="A50" s="150"/>
      <c r="I50" s="153"/>
    </row>
    <row r="51" spans="1:9" s="125" customFormat="1" ht="14.25" customHeight="1">
      <c r="A51" s="150"/>
    </row>
    <row r="52" spans="1:9" s="125" customFormat="1" ht="14.25" customHeight="1">
      <c r="A52" s="150"/>
    </row>
    <row r="53" spans="1:9" s="125" customFormat="1" ht="14.25" customHeight="1">
      <c r="A53" s="150"/>
    </row>
    <row r="54" spans="1:9" s="125" customFormat="1" ht="14.25" customHeight="1">
      <c r="A54" s="150"/>
    </row>
    <row r="55" spans="1:9" s="125" customFormat="1" ht="14.25" customHeight="1">
      <c r="A55" s="150"/>
    </row>
    <row r="56" spans="1:9" s="125" customFormat="1" ht="14.25" customHeight="1">
      <c r="A56" s="150"/>
    </row>
    <row r="57" spans="1:9" s="125" customFormat="1" ht="14.25" customHeight="1">
      <c r="A57" s="150"/>
    </row>
    <row r="58" spans="1:9" s="125" customFormat="1" ht="14.25" customHeight="1">
      <c r="A58" s="150"/>
    </row>
    <row r="59" spans="1:9" s="125" customFormat="1" ht="14.25" customHeight="1">
      <c r="A59" s="150"/>
    </row>
    <row r="60" spans="1:9" s="125" customFormat="1" ht="14.25" customHeight="1">
      <c r="A60" s="150"/>
    </row>
    <row r="61" spans="1:9" s="125" customFormat="1" ht="14.25" customHeight="1">
      <c r="A61" s="150"/>
    </row>
    <row r="62" spans="1:9" s="125" customFormat="1" ht="14.25" customHeight="1">
      <c r="A62" s="150"/>
    </row>
    <row r="63" spans="1:9" s="125" customFormat="1" ht="14.25" customHeight="1">
      <c r="A63" s="150"/>
    </row>
    <row r="64" spans="1:9" s="125" customFormat="1" ht="14.25" customHeight="1">
      <c r="A64" s="150"/>
    </row>
    <row r="65" spans="1:1" s="125" customFormat="1" ht="14.25" customHeight="1">
      <c r="A65" s="150"/>
    </row>
    <row r="66" spans="1:1" s="125" customFormat="1" ht="14.25" customHeight="1">
      <c r="A66" s="150"/>
    </row>
    <row r="67" spans="1:1" s="125" customFormat="1" ht="14.25" customHeight="1">
      <c r="A67" s="150"/>
    </row>
    <row r="68" spans="1:1" s="125" customFormat="1" ht="14.25" customHeight="1">
      <c r="A68" s="150"/>
    </row>
    <row r="69" spans="1:1" s="125" customFormat="1" ht="14.25" customHeight="1">
      <c r="A69" s="150"/>
    </row>
    <row r="70" spans="1:1" s="125" customFormat="1" ht="14.25" customHeight="1">
      <c r="A70" s="150"/>
    </row>
    <row r="71" spans="1:1" s="125" customFormat="1" ht="14.25" customHeight="1">
      <c r="A71" s="150"/>
    </row>
    <row r="72" spans="1:1" s="125" customFormat="1" ht="14.25" customHeight="1">
      <c r="A72" s="150"/>
    </row>
    <row r="73" spans="1:1" s="125" customFormat="1" ht="14.25" customHeight="1">
      <c r="A73" s="150"/>
    </row>
    <row r="74" spans="1:1" s="125" customFormat="1" ht="14.25" customHeight="1">
      <c r="A74" s="150"/>
    </row>
    <row r="75" spans="1:1" s="125" customFormat="1" ht="14.25" customHeight="1">
      <c r="A75" s="150"/>
    </row>
    <row r="76" spans="1:1" s="125" customFormat="1" ht="14.25" customHeight="1">
      <c r="A76" s="150"/>
    </row>
    <row r="77" spans="1:1" s="125" customFormat="1" ht="14.25" customHeight="1">
      <c r="A77" s="150"/>
    </row>
    <row r="78" spans="1:1" s="125" customFormat="1" ht="14.25" customHeight="1">
      <c r="A78" s="150"/>
    </row>
    <row r="79" spans="1:1" s="125" customFormat="1" ht="14.25" customHeight="1">
      <c r="A79" s="150"/>
    </row>
    <row r="80" spans="1:1" s="125" customFormat="1" ht="14.25" customHeight="1">
      <c r="A80" s="150"/>
    </row>
    <row r="81" spans="1:1" s="125" customFormat="1" ht="14.25" customHeight="1">
      <c r="A81" s="150"/>
    </row>
    <row r="82" spans="1:1" s="125" customFormat="1" ht="14.25" customHeight="1">
      <c r="A82" s="150"/>
    </row>
    <row r="83" spans="1:1" s="125" customFormat="1" ht="14.25" customHeight="1">
      <c r="A83" s="150"/>
    </row>
    <row r="84" spans="1:1" s="125" customFormat="1" ht="14.25" customHeight="1">
      <c r="A84" s="150"/>
    </row>
    <row r="85" spans="1:1" s="125" customFormat="1" ht="14.25" customHeight="1">
      <c r="A85" s="150"/>
    </row>
    <row r="86" spans="1:1" s="125" customFormat="1" ht="14.25" customHeight="1">
      <c r="A86" s="150"/>
    </row>
    <row r="87" spans="1:1" s="125" customFormat="1" ht="14.25" customHeight="1">
      <c r="A87" s="150"/>
    </row>
    <row r="88" spans="1:1" s="125" customFormat="1" ht="14.25" customHeight="1">
      <c r="A88" s="150"/>
    </row>
    <row r="89" spans="1:1" s="125" customFormat="1" ht="14.25" customHeight="1">
      <c r="A89" s="150"/>
    </row>
    <row r="90" spans="1:1" s="125" customFormat="1" ht="14.25" customHeight="1">
      <c r="A90" s="150"/>
    </row>
    <row r="91" spans="1:1" s="125" customFormat="1" ht="14.25" customHeight="1">
      <c r="A91" s="150"/>
    </row>
    <row r="92" spans="1:1" s="125" customFormat="1" ht="14.25" customHeight="1">
      <c r="A92" s="150"/>
    </row>
    <row r="93" spans="1:1" s="125" customFormat="1" ht="14.25" customHeight="1">
      <c r="A93" s="150"/>
    </row>
    <row r="94" spans="1:1" s="125" customFormat="1" ht="14.25" customHeight="1">
      <c r="A94" s="150"/>
    </row>
    <row r="95" spans="1:1" s="125" customFormat="1" ht="14.25" customHeight="1">
      <c r="A95" s="150"/>
    </row>
    <row r="96" spans="1:1" s="125" customFormat="1" ht="14.25" customHeight="1">
      <c r="A96" s="150"/>
    </row>
    <row r="97" spans="1:1" s="125" customFormat="1" ht="14.25" customHeight="1">
      <c r="A97" s="150"/>
    </row>
    <row r="98" spans="1:1" s="125" customFormat="1" ht="14.25" customHeight="1">
      <c r="A98" s="150"/>
    </row>
    <row r="99" spans="1:1" s="125" customFormat="1" ht="14.25" customHeight="1">
      <c r="A99" s="150"/>
    </row>
    <row r="100" spans="1:1" s="125" customFormat="1" ht="14.25" customHeight="1">
      <c r="A100" s="150"/>
    </row>
    <row r="101" spans="1:1" s="125" customFormat="1" ht="14.25" customHeight="1">
      <c r="A101" s="150"/>
    </row>
    <row r="102" spans="1:1" s="125" customFormat="1" ht="14.25" customHeight="1">
      <c r="A102" s="150"/>
    </row>
    <row r="103" spans="1:1" s="125" customFormat="1" ht="14.25" customHeight="1">
      <c r="A103" s="150"/>
    </row>
    <row r="104" spans="1:1" s="125" customFormat="1" ht="14.25" customHeight="1">
      <c r="A104" s="150"/>
    </row>
    <row r="105" spans="1:1" s="125" customFormat="1" ht="14.25" customHeight="1">
      <c r="A105" s="150"/>
    </row>
    <row r="106" spans="1:1" s="125" customFormat="1" ht="14.25" customHeight="1">
      <c r="A106" s="150"/>
    </row>
    <row r="107" spans="1:1" s="125" customFormat="1" ht="14.25" customHeight="1">
      <c r="A107" s="150"/>
    </row>
    <row r="108" spans="1:1" s="125" customFormat="1" ht="14.25" customHeight="1">
      <c r="A108" s="150"/>
    </row>
    <row r="109" spans="1:1" s="125" customFormat="1" ht="14.25" customHeight="1">
      <c r="A109" s="150"/>
    </row>
    <row r="110" spans="1:1" s="125" customFormat="1" ht="14.25" customHeight="1">
      <c r="A110" s="150"/>
    </row>
    <row r="111" spans="1:1" s="125" customFormat="1" ht="14.25" customHeight="1">
      <c r="A111" s="150"/>
    </row>
    <row r="112" spans="1:1" s="125" customFormat="1" ht="14.25" customHeight="1">
      <c r="A112" s="150"/>
    </row>
    <row r="113" spans="1:1" s="125" customFormat="1" ht="14.25" customHeight="1">
      <c r="A113" s="150"/>
    </row>
    <row r="114" spans="1:1" s="125" customFormat="1" ht="14.25" customHeight="1">
      <c r="A114" s="150"/>
    </row>
    <row r="115" spans="1:1" s="125" customFormat="1" ht="14.25" customHeight="1">
      <c r="A115" s="150"/>
    </row>
    <row r="116" spans="1:1" s="125" customFormat="1" ht="14.25" customHeight="1">
      <c r="A116" s="150"/>
    </row>
    <row r="117" spans="1:1" s="125" customFormat="1" ht="14.25" customHeight="1">
      <c r="A117" s="150"/>
    </row>
    <row r="118" spans="1:1" s="125" customFormat="1" ht="14.25" customHeight="1">
      <c r="A118" s="150"/>
    </row>
    <row r="119" spans="1:1" s="125" customFormat="1" ht="14.25" customHeight="1">
      <c r="A119" s="150"/>
    </row>
    <row r="120" spans="1:1" s="125" customFormat="1" ht="14.25" customHeight="1">
      <c r="A120" s="150"/>
    </row>
    <row r="121" spans="1:1" s="125" customFormat="1" ht="14.25" customHeight="1">
      <c r="A121" s="150"/>
    </row>
    <row r="122" spans="1:1" s="125" customFormat="1" ht="14.25" customHeight="1">
      <c r="A122" s="150"/>
    </row>
    <row r="123" spans="1:1" s="125" customFormat="1" ht="14.25" customHeight="1">
      <c r="A123" s="150"/>
    </row>
    <row r="124" spans="1:1" s="125" customFormat="1" ht="14.25" customHeight="1">
      <c r="A124" s="150"/>
    </row>
    <row r="125" spans="1:1" s="125" customFormat="1" ht="14.25" customHeight="1">
      <c r="A125" s="150"/>
    </row>
    <row r="126" spans="1:1" s="125" customFormat="1" ht="14.25" customHeight="1">
      <c r="A126" s="150"/>
    </row>
    <row r="127" spans="1:1" s="125" customFormat="1" ht="14.25" customHeight="1">
      <c r="A127" s="150"/>
    </row>
    <row r="128" spans="1:1" s="125" customFormat="1" ht="14.25" customHeight="1">
      <c r="A128" s="150"/>
    </row>
    <row r="129" spans="1:1" s="125" customFormat="1" ht="14.25" customHeight="1">
      <c r="A129" s="150"/>
    </row>
    <row r="130" spans="1:1" s="125" customFormat="1" ht="14.25" customHeight="1">
      <c r="A130" s="150"/>
    </row>
    <row r="131" spans="1:1" s="125" customFormat="1" ht="14.25" customHeight="1">
      <c r="A131" s="150"/>
    </row>
    <row r="132" spans="1:1" s="125" customFormat="1" ht="14.25" customHeight="1">
      <c r="A132" s="150"/>
    </row>
    <row r="133" spans="1:1" s="125" customFormat="1" ht="14.25" customHeight="1">
      <c r="A133" s="150"/>
    </row>
    <row r="134" spans="1:1" s="125" customFormat="1" ht="14.25" customHeight="1">
      <c r="A134" s="150"/>
    </row>
    <row r="135" spans="1:1" s="125" customFormat="1" ht="14.25" customHeight="1">
      <c r="A135" s="150"/>
    </row>
    <row r="136" spans="1:1" s="125" customFormat="1" ht="14.25" customHeight="1">
      <c r="A136" s="150"/>
    </row>
    <row r="137" spans="1:1" s="125" customFormat="1" ht="14.25" customHeight="1">
      <c r="A137" s="150"/>
    </row>
    <row r="138" spans="1:1" s="125" customFormat="1" ht="14.25" customHeight="1">
      <c r="A138" s="150"/>
    </row>
    <row r="139" spans="1:1" s="125" customFormat="1" ht="14.25" customHeight="1">
      <c r="A139" s="150"/>
    </row>
    <row r="140" spans="1:1" s="125" customFormat="1" ht="14.25" customHeight="1">
      <c r="A140" s="150"/>
    </row>
    <row r="141" spans="1:1" s="125" customFormat="1" ht="14.25" customHeight="1">
      <c r="A141" s="150"/>
    </row>
    <row r="142" spans="1:1" s="125" customFormat="1" ht="14.25" customHeight="1">
      <c r="A142" s="150"/>
    </row>
    <row r="143" spans="1:1" s="125" customFormat="1" ht="14.25" customHeight="1">
      <c r="A143" s="150"/>
    </row>
    <row r="144" spans="1:1" s="125" customFormat="1" ht="14.25" customHeight="1">
      <c r="A144" s="150"/>
    </row>
    <row r="145" spans="1:1" s="125" customFormat="1" ht="14.25" customHeight="1">
      <c r="A145" s="150"/>
    </row>
    <row r="146" spans="1:1" s="125" customFormat="1" ht="14.25" customHeight="1">
      <c r="A146" s="150"/>
    </row>
    <row r="147" spans="1:1" s="125" customFormat="1" ht="14.25" customHeight="1">
      <c r="A147" s="150"/>
    </row>
    <row r="148" spans="1:1" s="125" customFormat="1" ht="14.25" customHeight="1">
      <c r="A148" s="150"/>
    </row>
    <row r="149" spans="1:1" s="125" customFormat="1" ht="14.25" customHeight="1">
      <c r="A149" s="150"/>
    </row>
    <row r="150" spans="1:1" s="125" customFormat="1" ht="14.25" customHeight="1">
      <c r="A150" s="150"/>
    </row>
    <row r="151" spans="1:1" s="125" customFormat="1" ht="14.25" customHeight="1">
      <c r="A151" s="150"/>
    </row>
    <row r="152" spans="1:1" s="125" customFormat="1" ht="14.25" customHeight="1">
      <c r="A152" s="150"/>
    </row>
    <row r="153" spans="1:1" s="125" customFormat="1" ht="14.25" customHeight="1">
      <c r="A153" s="150"/>
    </row>
    <row r="154" spans="1:1" s="125" customFormat="1" ht="14.25" customHeight="1">
      <c r="A154" s="150"/>
    </row>
    <row r="155" spans="1:1" s="125" customFormat="1" ht="14.25" customHeight="1">
      <c r="A155" s="150"/>
    </row>
    <row r="156" spans="1:1" s="125" customFormat="1" ht="14.25" customHeight="1">
      <c r="A156" s="150"/>
    </row>
    <row r="157" spans="1:1" s="125" customFormat="1" ht="14.25" customHeight="1">
      <c r="A157" s="150"/>
    </row>
    <row r="158" spans="1:1" s="125" customFormat="1" ht="14.25" customHeight="1">
      <c r="A158" s="150"/>
    </row>
    <row r="159" spans="1:1" s="125" customFormat="1" ht="14.25" customHeight="1">
      <c r="A159" s="150"/>
    </row>
    <row r="160" spans="1:1" s="125" customFormat="1" ht="14.25" customHeight="1">
      <c r="A160" s="150"/>
    </row>
    <row r="161" spans="1:1" s="125" customFormat="1" ht="14.25" customHeight="1">
      <c r="A161" s="150"/>
    </row>
    <row r="162" spans="1:1" s="125" customFormat="1" ht="14.25" customHeight="1">
      <c r="A162" s="150"/>
    </row>
    <row r="163" spans="1:1" s="125" customFormat="1" ht="14.25" customHeight="1">
      <c r="A163" s="150"/>
    </row>
    <row r="164" spans="1:1" s="125" customFormat="1" ht="14.25" customHeight="1">
      <c r="A164" s="150"/>
    </row>
    <row r="165" spans="1:1" s="125" customFormat="1" ht="14.25" customHeight="1">
      <c r="A165" s="150"/>
    </row>
    <row r="166" spans="1:1" s="125" customFormat="1" ht="14.25" customHeight="1">
      <c r="A166" s="150"/>
    </row>
    <row r="167" spans="1:1" s="125" customFormat="1" ht="14.25" customHeight="1">
      <c r="A167" s="150"/>
    </row>
    <row r="168" spans="1:1" s="125" customFormat="1" ht="14.25" customHeight="1">
      <c r="A168" s="150"/>
    </row>
    <row r="169" spans="1:1" s="125" customFormat="1" ht="14.25" customHeight="1">
      <c r="A169" s="150"/>
    </row>
    <row r="170" spans="1:1" s="125" customFormat="1" ht="14.25" customHeight="1">
      <c r="A170" s="150"/>
    </row>
    <row r="171" spans="1:1" s="125" customFormat="1" ht="14.25" customHeight="1">
      <c r="A171" s="150"/>
    </row>
    <row r="172" spans="1:1" s="125" customFormat="1" ht="14.25" customHeight="1">
      <c r="A172" s="150"/>
    </row>
    <row r="173" spans="1:1" s="125" customFormat="1" ht="14.25" customHeight="1">
      <c r="A173" s="150"/>
    </row>
    <row r="174" spans="1:1" s="125" customFormat="1" ht="14.25" customHeight="1">
      <c r="A174" s="150"/>
    </row>
    <row r="175" spans="1:1" s="125" customFormat="1" ht="14.25" customHeight="1">
      <c r="A175" s="150"/>
    </row>
    <row r="176" spans="1:1" s="125" customFormat="1" ht="14.25" customHeight="1">
      <c r="A176" s="150"/>
    </row>
    <row r="177" spans="1:1" s="125" customFormat="1" ht="14.25" customHeight="1">
      <c r="A177" s="150"/>
    </row>
    <row r="178" spans="1:1" s="125" customFormat="1" ht="14.25" customHeight="1">
      <c r="A178" s="150"/>
    </row>
    <row r="179" spans="1:1" s="125" customFormat="1" ht="14.25" customHeight="1">
      <c r="A179" s="150"/>
    </row>
    <row r="180" spans="1:1" s="125" customFormat="1" ht="14.25" customHeight="1">
      <c r="A180" s="150"/>
    </row>
    <row r="181" spans="1:1" s="125" customFormat="1" ht="14.25" customHeight="1">
      <c r="A181" s="150"/>
    </row>
    <row r="182" spans="1:1" s="125" customFormat="1" ht="14.25" customHeight="1">
      <c r="A182" s="150"/>
    </row>
    <row r="183" spans="1:1" s="125" customFormat="1" ht="14.25" customHeight="1">
      <c r="A183" s="150"/>
    </row>
    <row r="184" spans="1:1" s="125" customFormat="1" ht="14.25" customHeight="1">
      <c r="A184" s="150"/>
    </row>
    <row r="185" spans="1:1" s="125" customFormat="1" ht="14.25" customHeight="1">
      <c r="A185" s="150"/>
    </row>
    <row r="186" spans="1:1" s="125" customFormat="1" ht="14.25" customHeight="1">
      <c r="A186" s="150"/>
    </row>
    <row r="187" spans="1:1" s="125" customFormat="1" ht="14.25" customHeight="1">
      <c r="A187" s="150"/>
    </row>
    <row r="188" spans="1:1" s="125" customFormat="1" ht="14.25" customHeight="1">
      <c r="A188" s="150"/>
    </row>
    <row r="189" spans="1:1" s="125" customFormat="1" ht="14.25" customHeight="1">
      <c r="A189" s="150"/>
    </row>
    <row r="190" spans="1:1" s="125" customFormat="1" ht="14.25" customHeight="1">
      <c r="A190" s="150"/>
    </row>
    <row r="191" spans="1:1" s="125" customFormat="1" ht="14.25" customHeight="1">
      <c r="A191" s="150"/>
    </row>
    <row r="192" spans="1:1" s="125" customFormat="1" ht="14.25" customHeight="1">
      <c r="A192" s="150"/>
    </row>
    <row r="193" spans="1:1" s="125" customFormat="1" ht="14.25" customHeight="1">
      <c r="A193" s="150"/>
    </row>
    <row r="194" spans="1:1" s="125" customFormat="1" ht="14.25" customHeight="1">
      <c r="A194" s="150"/>
    </row>
    <row r="195" spans="1:1" s="125" customFormat="1" ht="14.25" customHeight="1">
      <c r="A195" s="150"/>
    </row>
    <row r="196" spans="1:1" s="125" customFormat="1" ht="14.25" customHeight="1">
      <c r="A196" s="150"/>
    </row>
    <row r="197" spans="1:1" s="125" customFormat="1" ht="14.25" customHeight="1">
      <c r="A197" s="150"/>
    </row>
    <row r="198" spans="1:1" s="125" customFormat="1" ht="14.25" customHeight="1">
      <c r="A198" s="150"/>
    </row>
    <row r="199" spans="1:1" s="125" customFormat="1" ht="14.25" customHeight="1">
      <c r="A199" s="150"/>
    </row>
    <row r="200" spans="1:1" s="125" customFormat="1" ht="14.25" customHeight="1">
      <c r="A200" s="150"/>
    </row>
    <row r="201" spans="1:1" s="125" customFormat="1" ht="14.25" customHeight="1">
      <c r="A201" s="150"/>
    </row>
    <row r="202" spans="1:1" s="125" customFormat="1" ht="14.25" customHeight="1">
      <c r="A202" s="150"/>
    </row>
    <row r="203" spans="1:1" s="125" customFormat="1" ht="14.25" customHeight="1">
      <c r="A203" s="150"/>
    </row>
    <row r="204" spans="1:1" s="125" customFormat="1" ht="14.25" customHeight="1">
      <c r="A204" s="150"/>
    </row>
    <row r="205" spans="1:1" s="125" customFormat="1" ht="14.25" customHeight="1">
      <c r="A205" s="150"/>
    </row>
    <row r="206" spans="1:1" s="125" customFormat="1" ht="14.25" customHeight="1">
      <c r="A206" s="150"/>
    </row>
    <row r="207" spans="1:1" s="125" customFormat="1" ht="14.25" customHeight="1">
      <c r="A207" s="150"/>
    </row>
    <row r="208" spans="1:1" s="125" customFormat="1" ht="14.25" customHeight="1">
      <c r="A208" s="150"/>
    </row>
    <row r="209" spans="1:1" s="125" customFormat="1" ht="14.25" customHeight="1">
      <c r="A209" s="150"/>
    </row>
    <row r="210" spans="1:1" s="125" customFormat="1" ht="14.25" customHeight="1">
      <c r="A210" s="150"/>
    </row>
    <row r="211" spans="1:1" s="125" customFormat="1" ht="14.25" customHeight="1">
      <c r="A211" s="150"/>
    </row>
    <row r="212" spans="1:1" s="125" customFormat="1" ht="14.25" customHeight="1">
      <c r="A212" s="150"/>
    </row>
    <row r="213" spans="1:1" s="125" customFormat="1" ht="14.25" customHeight="1">
      <c r="A213" s="150"/>
    </row>
    <row r="214" spans="1:1" s="125" customFormat="1" ht="14.25" customHeight="1">
      <c r="A214" s="150"/>
    </row>
    <row r="215" spans="1:1" s="125" customFormat="1" ht="14.25" customHeight="1">
      <c r="A215" s="150"/>
    </row>
    <row r="216" spans="1:1" s="125" customFormat="1" ht="14.25" customHeight="1">
      <c r="A216" s="150"/>
    </row>
    <row r="217" spans="1:1" s="125" customFormat="1" ht="14.25" customHeight="1">
      <c r="A217" s="150"/>
    </row>
    <row r="218" spans="1:1" s="125" customFormat="1" ht="14.25" customHeight="1">
      <c r="A218" s="150"/>
    </row>
    <row r="219" spans="1:1" s="125" customFormat="1" ht="14.25" customHeight="1">
      <c r="A219" s="150"/>
    </row>
    <row r="220" spans="1:1" s="125" customFormat="1" ht="14.25" customHeight="1">
      <c r="A220" s="150"/>
    </row>
    <row r="221" spans="1:1" s="125" customFormat="1" ht="14.25" customHeight="1">
      <c r="A221" s="150"/>
    </row>
    <row r="222" spans="1:1" s="125" customFormat="1" ht="14.25" customHeight="1">
      <c r="A222" s="150"/>
    </row>
    <row r="223" spans="1:1" s="125" customFormat="1" ht="14.25" customHeight="1">
      <c r="A223" s="150"/>
    </row>
    <row r="224" spans="1:1" s="125" customFormat="1" ht="14.25" customHeight="1">
      <c r="A224" s="150"/>
    </row>
    <row r="225" spans="1:1" s="125" customFormat="1" ht="14.25" customHeight="1">
      <c r="A225" s="150"/>
    </row>
    <row r="226" spans="1:1" s="125" customFormat="1" ht="14.25" customHeight="1">
      <c r="A226" s="150"/>
    </row>
    <row r="227" spans="1:1" s="125" customFormat="1" ht="14.25" customHeight="1">
      <c r="A227" s="150"/>
    </row>
    <row r="228" spans="1:1" s="125" customFormat="1" ht="14.25" customHeight="1">
      <c r="A228" s="150"/>
    </row>
    <row r="229" spans="1:1" s="125" customFormat="1" ht="14.25" customHeight="1">
      <c r="A229" s="150"/>
    </row>
    <row r="230" spans="1:1" s="125" customFormat="1" ht="14.25" customHeight="1">
      <c r="A230" s="150"/>
    </row>
    <row r="231" spans="1:1" s="125" customFormat="1" ht="14.25" customHeight="1">
      <c r="A231" s="150"/>
    </row>
    <row r="232" spans="1:1" s="125" customFormat="1" ht="14.25" customHeight="1">
      <c r="A232" s="150"/>
    </row>
    <row r="233" spans="1:1" s="125" customFormat="1" ht="14.25" customHeight="1">
      <c r="A233" s="150"/>
    </row>
    <row r="234" spans="1:1" s="125" customFormat="1" ht="14.25" customHeight="1">
      <c r="A234" s="150"/>
    </row>
    <row r="235" spans="1:1" s="125" customFormat="1" ht="14.25" customHeight="1">
      <c r="A235" s="150"/>
    </row>
    <row r="236" spans="1:1" s="125" customFormat="1" ht="14.25" customHeight="1">
      <c r="A236" s="150"/>
    </row>
    <row r="237" spans="1:1" s="125" customFormat="1" ht="14.25" customHeight="1">
      <c r="A237" s="150"/>
    </row>
    <row r="238" spans="1:1" s="125" customFormat="1" ht="14.25" customHeight="1">
      <c r="A238" s="150"/>
    </row>
    <row r="239" spans="1:1" s="125" customFormat="1" ht="14.25" customHeight="1">
      <c r="A239" s="150"/>
    </row>
    <row r="240" spans="1:1" s="125" customFormat="1" ht="14.25" customHeight="1">
      <c r="A240" s="150"/>
    </row>
    <row r="241" spans="1:1" s="125" customFormat="1" ht="14.25" customHeight="1">
      <c r="A241" s="150"/>
    </row>
    <row r="242" spans="1:1" s="125" customFormat="1" ht="14.25" customHeight="1">
      <c r="A242" s="150"/>
    </row>
    <row r="243" spans="1:1" s="125" customFormat="1" ht="14.25" customHeight="1">
      <c r="A243" s="150"/>
    </row>
    <row r="244" spans="1:1" s="125" customFormat="1" ht="14.25" customHeight="1">
      <c r="A244" s="150"/>
    </row>
    <row r="245" spans="1:1" s="125" customFormat="1" ht="14.25" customHeight="1">
      <c r="A245" s="150"/>
    </row>
    <row r="246" spans="1:1" s="125" customFormat="1" ht="14.25" customHeight="1">
      <c r="A246" s="150"/>
    </row>
    <row r="247" spans="1:1" s="125" customFormat="1" ht="14.25" customHeight="1">
      <c r="A247" s="150"/>
    </row>
    <row r="248" spans="1:1" s="125" customFormat="1" ht="14.25" customHeight="1">
      <c r="A248" s="150"/>
    </row>
    <row r="249" spans="1:1" s="125" customFormat="1" ht="14.25" customHeight="1">
      <c r="A249" s="150"/>
    </row>
    <row r="250" spans="1:1" s="125" customFormat="1" ht="14.25" customHeight="1">
      <c r="A250" s="150"/>
    </row>
    <row r="251" spans="1:1" s="125" customFormat="1" ht="14.25" customHeight="1">
      <c r="A251" s="150"/>
    </row>
    <row r="252" spans="1:1" s="125" customFormat="1" ht="14.25" customHeight="1">
      <c r="A252" s="150"/>
    </row>
    <row r="253" spans="1:1" s="125" customFormat="1" ht="14.25" customHeight="1">
      <c r="A253" s="150"/>
    </row>
    <row r="254" spans="1:1" s="125" customFormat="1" ht="14.25" customHeight="1">
      <c r="A254" s="150"/>
    </row>
    <row r="255" spans="1:1" s="125" customFormat="1" ht="14.25" customHeight="1">
      <c r="A255" s="150"/>
    </row>
    <row r="256" spans="1:1" s="125" customFormat="1" ht="14.25" customHeight="1">
      <c r="A256" s="150"/>
    </row>
    <row r="257" spans="1:1" s="125" customFormat="1" ht="14.25" customHeight="1">
      <c r="A257" s="150"/>
    </row>
    <row r="258" spans="1:1" s="125" customFormat="1" ht="14.25" customHeight="1">
      <c r="A258" s="150"/>
    </row>
    <row r="259" spans="1:1" s="125" customFormat="1" ht="14.25" customHeight="1">
      <c r="A259" s="150"/>
    </row>
    <row r="260" spans="1:1" s="125" customFormat="1" ht="14.25" customHeight="1">
      <c r="A260" s="150"/>
    </row>
    <row r="261" spans="1:1" s="125" customFormat="1" ht="14.25" customHeight="1">
      <c r="A261" s="150"/>
    </row>
    <row r="262" spans="1:1" s="125" customFormat="1" ht="14.25" customHeight="1">
      <c r="A262" s="150"/>
    </row>
    <row r="263" spans="1:1" s="125" customFormat="1" ht="14.25" customHeight="1">
      <c r="A263" s="150"/>
    </row>
    <row r="264" spans="1:1" s="125" customFormat="1" ht="14.25" customHeight="1">
      <c r="A264" s="150"/>
    </row>
    <row r="265" spans="1:1" s="125" customFormat="1" ht="14.25" customHeight="1">
      <c r="A265" s="150"/>
    </row>
    <row r="266" spans="1:1" s="125" customFormat="1" ht="14.25" customHeight="1">
      <c r="A266" s="150"/>
    </row>
    <row r="267" spans="1:1" s="125" customFormat="1" ht="14.25" customHeight="1">
      <c r="A267" s="150"/>
    </row>
    <row r="268" spans="1:1" s="125" customFormat="1" ht="14.25" customHeight="1">
      <c r="A268" s="150"/>
    </row>
    <row r="269" spans="1:1" s="125" customFormat="1" ht="14.25" customHeight="1">
      <c r="A269" s="150"/>
    </row>
    <row r="270" spans="1:1" s="125" customFormat="1" ht="14.25" customHeight="1">
      <c r="A270" s="150"/>
    </row>
    <row r="271" spans="1:1" s="125" customFormat="1" ht="14.25" customHeight="1">
      <c r="A271" s="150"/>
    </row>
    <row r="272" spans="1:1" s="125" customFormat="1" ht="14.25" customHeight="1">
      <c r="A272" s="150"/>
    </row>
    <row r="273" spans="1:3" s="125" customFormat="1" ht="14.25" customHeight="1">
      <c r="A273" s="150"/>
    </row>
    <row r="274" spans="1:3" s="125" customFormat="1" ht="14.25" customHeight="1">
      <c r="A274" s="150"/>
    </row>
    <row r="275" spans="1:3" s="125" customFormat="1" ht="14.25" customHeight="1">
      <c r="A275" s="150"/>
    </row>
    <row r="276" spans="1:3" s="125" customFormat="1" ht="14.25" customHeight="1">
      <c r="A276" s="150"/>
    </row>
    <row r="277" spans="1:3" s="125" customFormat="1" ht="14.25" customHeight="1">
      <c r="A277" s="150"/>
    </row>
    <row r="278" spans="1:3" s="125" customFormat="1" ht="14.25" customHeight="1">
      <c r="A278" s="150"/>
    </row>
    <row r="279" spans="1:3" s="125" customFormat="1" ht="14.25" customHeight="1">
      <c r="A279" s="150"/>
    </row>
    <row r="280" spans="1:3" s="125" customFormat="1" ht="14.25" customHeight="1">
      <c r="A280" s="150"/>
    </row>
    <row r="281" spans="1:3" s="125" customFormat="1" ht="14.25" customHeight="1">
      <c r="A281" s="150"/>
    </row>
    <row r="282" spans="1:3" s="125" customFormat="1" ht="14.25" customHeight="1">
      <c r="A282" s="150"/>
    </row>
    <row r="283" spans="1:3" s="125" customFormat="1" ht="14.25" customHeight="1">
      <c r="A283" s="150"/>
    </row>
    <row r="284" spans="1:3" s="125" customFormat="1" ht="14.25" customHeight="1">
      <c r="A284" s="150"/>
    </row>
    <row r="285" spans="1:3" s="125" customFormat="1" ht="14.25" customHeight="1">
      <c r="A285" s="150"/>
    </row>
    <row r="286" spans="1:3" s="125" customFormat="1" ht="14.25" customHeight="1">
      <c r="A286" s="150"/>
    </row>
    <row r="287" spans="1:3" s="125" customFormat="1" ht="14.25" customHeight="1">
      <c r="A287" s="154"/>
    </row>
    <row r="288" spans="1:3" ht="14.25" customHeight="1">
      <c r="B288" s="125"/>
      <c r="C288" s="125"/>
    </row>
    <row r="289" spans="2:3" ht="14.25" customHeight="1">
      <c r="B289" s="125"/>
      <c r="C289" s="125"/>
    </row>
  </sheetData>
  <sheetProtection sheet="1"/>
  <mergeCells count="6">
    <mergeCell ref="B46:N46"/>
    <mergeCell ref="A1:B1"/>
    <mergeCell ref="A4:N4"/>
    <mergeCell ref="B45:N45"/>
    <mergeCell ref="B44:N44"/>
    <mergeCell ref="B43:N43"/>
  </mergeCells>
  <printOptions horizontalCentered="1"/>
  <pageMargins left="0.25" right="0.25" top="0.5" bottom="0.5" header="0.5" footer="0.5"/>
  <pageSetup scale="81" orientation="portrait" r:id="rId1"/>
  <headerFooter alignWithMargins="0">
    <oddFooter>&amp;R&amp;D</oddFooter>
  </headerFooter>
  <ignoredErrors>
    <ignoredError sqref="C35 F35 I35 K35 C29:I30 D28:E28 G28:H28 D22:E22 C31:E31 G31:H31 D34:E34 G34:H34 G22:H2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Lists!$G$3:$G$69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opLeftCell="A2" workbookViewId="0">
      <selection activeCell="O5" sqref="O5"/>
    </sheetView>
  </sheetViews>
  <sheetFormatPr defaultRowHeight="12.75"/>
  <cols>
    <col min="1" max="1" width="45.5703125" style="69" bestFit="1" customWidth="1"/>
    <col min="2" max="2" width="11.42578125" style="68" bestFit="1" customWidth="1"/>
    <col min="3" max="3" width="11.42578125" style="69" bestFit="1" customWidth="1"/>
    <col min="4" max="4" width="31.42578125" style="69" bestFit="1" customWidth="1"/>
    <col min="5" max="5" width="11.42578125" style="68" bestFit="1" customWidth="1"/>
    <col min="6" max="6" width="8.5703125" style="68" bestFit="1" customWidth="1"/>
    <col min="7" max="7" width="10.5703125" style="69" bestFit="1" customWidth="1"/>
    <col min="8" max="8" width="10.5703125" style="69" customWidth="1"/>
    <col min="9" max="9" width="8.85546875" style="70"/>
    <col min="10" max="10" width="8.85546875" style="69"/>
    <col min="11" max="11" width="23.42578125" style="69" bestFit="1" customWidth="1"/>
    <col min="12" max="13" width="8.85546875" style="68"/>
    <col min="14" max="14" width="8.85546875" style="83"/>
    <col min="15" max="15" width="8.85546875" style="71"/>
  </cols>
  <sheetData>
    <row r="1" spans="1:15" ht="18.75">
      <c r="A1" s="67" t="s">
        <v>255</v>
      </c>
      <c r="N1" s="71"/>
    </row>
    <row r="2" spans="1:15" ht="39" thickBot="1">
      <c r="H2" s="72" t="s">
        <v>256</v>
      </c>
      <c r="N2" s="71"/>
      <c r="O2" s="72" t="s">
        <v>256</v>
      </c>
    </row>
    <row r="3" spans="1:15" ht="13.5" thickBot="1">
      <c r="B3" s="217" t="s">
        <v>257</v>
      </c>
      <c r="C3" s="218"/>
      <c r="D3" s="218"/>
      <c r="E3" s="218"/>
      <c r="F3" s="218"/>
      <c r="G3" s="218"/>
      <c r="H3" s="73"/>
      <c r="I3" s="219" t="s">
        <v>258</v>
      </c>
      <c r="J3" s="220"/>
      <c r="K3" s="220"/>
      <c r="L3" s="220"/>
      <c r="M3" s="220"/>
      <c r="N3" s="221"/>
      <c r="O3" s="74"/>
    </row>
    <row r="4" spans="1:15" ht="38.25">
      <c r="A4" s="11" t="s">
        <v>237</v>
      </c>
      <c r="B4" s="75" t="s">
        <v>259</v>
      </c>
      <c r="C4" s="72" t="s">
        <v>260</v>
      </c>
      <c r="D4" s="72" t="s">
        <v>261</v>
      </c>
      <c r="E4" s="76" t="s">
        <v>262</v>
      </c>
      <c r="F4" s="77" t="s">
        <v>263</v>
      </c>
      <c r="G4" s="72" t="s">
        <v>264</v>
      </c>
      <c r="H4" s="72" t="s">
        <v>178</v>
      </c>
      <c r="I4" s="78" t="s">
        <v>259</v>
      </c>
      <c r="J4" s="72" t="s">
        <v>260</v>
      </c>
      <c r="K4" s="72" t="s">
        <v>261</v>
      </c>
      <c r="L4" s="76" t="s">
        <v>262</v>
      </c>
      <c r="M4" s="77" t="s">
        <v>263</v>
      </c>
      <c r="N4" s="79" t="s">
        <v>264</v>
      </c>
      <c r="O4" s="72" t="s">
        <v>178</v>
      </c>
    </row>
    <row r="5" spans="1:15">
      <c r="A5" s="69" t="s">
        <v>40</v>
      </c>
      <c r="B5" s="68">
        <v>61.175445623873422</v>
      </c>
      <c r="C5" s="69" t="s">
        <v>265</v>
      </c>
      <c r="D5" s="69" t="s">
        <v>266</v>
      </c>
      <c r="E5" s="68">
        <v>59.81</v>
      </c>
      <c r="F5" s="80">
        <f t="shared" ref="F5:F68" si="0">IF(E5="",B5,E5)</f>
        <v>59.81</v>
      </c>
      <c r="G5" s="69" t="s">
        <v>267</v>
      </c>
      <c r="H5" s="81">
        <f t="shared" ref="H5:H68" si="1">IF(G5="Yes",F5*1.25,F5)</f>
        <v>59.81</v>
      </c>
      <c r="I5" s="82"/>
      <c r="L5" s="69"/>
      <c r="M5" s="69"/>
    </row>
    <row r="6" spans="1:15">
      <c r="A6" s="69" t="s">
        <v>41</v>
      </c>
      <c r="B6" s="68">
        <v>64.900000000000006</v>
      </c>
      <c r="C6" s="69" t="s">
        <v>265</v>
      </c>
      <c r="D6" s="69" t="s">
        <v>268</v>
      </c>
      <c r="E6" s="84">
        <v>64.900000000000006</v>
      </c>
      <c r="F6" s="68">
        <f t="shared" si="0"/>
        <v>64.900000000000006</v>
      </c>
      <c r="G6" s="69" t="s">
        <v>267</v>
      </c>
      <c r="H6" s="81">
        <f t="shared" si="1"/>
        <v>64.900000000000006</v>
      </c>
      <c r="I6" s="70">
        <v>30.53</v>
      </c>
      <c r="J6" s="69" t="s">
        <v>267</v>
      </c>
      <c r="K6" s="69" t="s">
        <v>41</v>
      </c>
      <c r="M6" s="68">
        <f>IF(L6="",I6,L6)</f>
        <v>30.53</v>
      </c>
      <c r="N6" s="83" t="s">
        <v>267</v>
      </c>
      <c r="O6" s="81">
        <f>IF(N6="Yes",M6*1.25,M6)</f>
        <v>30.53</v>
      </c>
    </row>
    <row r="7" spans="1:15">
      <c r="A7" s="69" t="s">
        <v>42</v>
      </c>
      <c r="B7" s="68">
        <v>83.935873255375341</v>
      </c>
      <c r="C7" s="69" t="s">
        <v>267</v>
      </c>
      <c r="F7" s="68">
        <f t="shared" si="0"/>
        <v>83.935873255375341</v>
      </c>
      <c r="G7" s="69" t="s">
        <v>267</v>
      </c>
      <c r="H7" s="81">
        <f t="shared" si="1"/>
        <v>83.935873255375341</v>
      </c>
      <c r="I7" s="70">
        <v>45.98</v>
      </c>
      <c r="J7" s="69" t="s">
        <v>267</v>
      </c>
      <c r="K7" s="69" t="s">
        <v>42</v>
      </c>
      <c r="M7" s="68">
        <f>IF(L7="",I7,L7)</f>
        <v>45.98</v>
      </c>
      <c r="N7" s="83" t="s">
        <v>267</v>
      </c>
      <c r="O7" s="81">
        <f>IF(N7="Yes",M7*1.25,M7)</f>
        <v>45.98</v>
      </c>
    </row>
    <row r="8" spans="1:15">
      <c r="A8" s="69" t="s">
        <v>43</v>
      </c>
      <c r="B8" s="68">
        <v>41.775672810587153</v>
      </c>
      <c r="C8" s="69" t="s">
        <v>267</v>
      </c>
      <c r="E8" s="69"/>
      <c r="F8" s="68">
        <f t="shared" si="0"/>
        <v>41.775672810587153</v>
      </c>
      <c r="G8" s="69" t="s">
        <v>267</v>
      </c>
      <c r="H8" s="81">
        <f t="shared" si="1"/>
        <v>41.775672810587153</v>
      </c>
    </row>
    <row r="9" spans="1:15">
      <c r="A9" s="69" t="s">
        <v>44</v>
      </c>
      <c r="B9" s="68">
        <v>50.651794413770709</v>
      </c>
      <c r="C9" s="69" t="s">
        <v>267</v>
      </c>
      <c r="E9" s="69"/>
      <c r="F9" s="68">
        <f t="shared" si="0"/>
        <v>50.651794413770709</v>
      </c>
      <c r="G9" s="69" t="s">
        <v>267</v>
      </c>
      <c r="H9" s="81">
        <f t="shared" si="1"/>
        <v>50.651794413770709</v>
      </c>
      <c r="I9" s="82"/>
      <c r="L9" s="69"/>
      <c r="M9" s="69"/>
    </row>
    <row r="10" spans="1:15">
      <c r="A10" s="69" t="s">
        <v>45</v>
      </c>
      <c r="B10" s="68">
        <v>45.885778194674934</v>
      </c>
      <c r="C10" s="69" t="s">
        <v>267</v>
      </c>
      <c r="E10" s="69"/>
      <c r="F10" s="68">
        <f t="shared" si="0"/>
        <v>45.885778194674934</v>
      </c>
      <c r="G10" s="69" t="s">
        <v>267</v>
      </c>
      <c r="H10" s="81">
        <f t="shared" si="1"/>
        <v>45.885778194674934</v>
      </c>
      <c r="I10" s="82"/>
      <c r="L10" s="69"/>
      <c r="M10" s="69"/>
    </row>
    <row r="11" spans="1:15">
      <c r="A11" s="69" t="s">
        <v>46</v>
      </c>
      <c r="B11" s="68">
        <v>44.944835792479779</v>
      </c>
      <c r="C11" s="69" t="s">
        <v>267</v>
      </c>
      <c r="E11" s="69"/>
      <c r="F11" s="68">
        <f t="shared" si="0"/>
        <v>44.944835792479779</v>
      </c>
      <c r="G11" s="69" t="s">
        <v>267</v>
      </c>
      <c r="H11" s="81">
        <f t="shared" si="1"/>
        <v>44.944835792479779</v>
      </c>
      <c r="I11" s="82"/>
      <c r="L11" s="69"/>
      <c r="M11" s="69"/>
    </row>
    <row r="12" spans="1:15">
      <c r="A12" s="69" t="s">
        <v>47</v>
      </c>
      <c r="B12" s="68">
        <v>66.138417130965962</v>
      </c>
      <c r="C12" s="69" t="s">
        <v>267</v>
      </c>
      <c r="E12" s="69"/>
      <c r="F12" s="68">
        <f t="shared" si="0"/>
        <v>66.138417130965962</v>
      </c>
      <c r="G12" s="69" t="s">
        <v>267</v>
      </c>
      <c r="H12" s="81">
        <f t="shared" si="1"/>
        <v>66.138417130965962</v>
      </c>
      <c r="I12" s="82"/>
      <c r="L12" s="69"/>
      <c r="M12" s="69"/>
    </row>
    <row r="13" spans="1:15">
      <c r="A13" s="69" t="s">
        <v>48</v>
      </c>
      <c r="B13" s="68">
        <v>49.784257171325187</v>
      </c>
      <c r="C13" s="69" t="s">
        <v>267</v>
      </c>
      <c r="E13" s="69"/>
      <c r="F13" s="68">
        <f t="shared" si="0"/>
        <v>49.784257171325187</v>
      </c>
      <c r="G13" s="69" t="s">
        <v>267</v>
      </c>
      <c r="H13" s="81">
        <f t="shared" si="1"/>
        <v>49.784257171325187</v>
      </c>
      <c r="I13" s="82"/>
      <c r="L13" s="69"/>
      <c r="M13" s="69"/>
    </row>
    <row r="14" spans="1:15">
      <c r="A14" s="69" t="s">
        <v>49</v>
      </c>
      <c r="B14" s="68">
        <v>38.91984010098885</v>
      </c>
      <c r="C14" s="69" t="s">
        <v>265</v>
      </c>
      <c r="D14" s="69" t="s">
        <v>269</v>
      </c>
      <c r="E14" s="69">
        <v>48.71</v>
      </c>
      <c r="F14" s="68">
        <f t="shared" si="0"/>
        <v>48.71</v>
      </c>
      <c r="G14" s="69" t="s">
        <v>267</v>
      </c>
      <c r="H14" s="81">
        <f t="shared" si="1"/>
        <v>48.71</v>
      </c>
      <c r="I14" s="82"/>
      <c r="L14" s="69"/>
      <c r="M14" s="69"/>
    </row>
    <row r="15" spans="1:15">
      <c r="A15" s="69" t="s">
        <v>51</v>
      </c>
      <c r="B15" s="68">
        <v>34.670491191147022</v>
      </c>
      <c r="C15" s="69" t="s">
        <v>265</v>
      </c>
      <c r="D15" s="69" t="s">
        <v>48</v>
      </c>
      <c r="E15" s="69">
        <v>49.78</v>
      </c>
      <c r="F15" s="68">
        <f t="shared" si="0"/>
        <v>49.78</v>
      </c>
      <c r="G15" s="69" t="s">
        <v>267</v>
      </c>
      <c r="H15" s="81">
        <f t="shared" si="1"/>
        <v>49.78</v>
      </c>
      <c r="I15" s="82"/>
      <c r="L15" s="69"/>
      <c r="M15" s="69"/>
    </row>
    <row r="16" spans="1:15">
      <c r="A16" s="69" t="s">
        <v>52</v>
      </c>
      <c r="B16" s="68">
        <v>35.926824212271974</v>
      </c>
      <c r="C16" s="69" t="s">
        <v>267</v>
      </c>
      <c r="E16" s="69"/>
      <c r="F16" s="68">
        <f t="shared" si="0"/>
        <v>35.926824212271974</v>
      </c>
      <c r="G16" s="69" t="s">
        <v>267</v>
      </c>
      <c r="H16" s="81">
        <f t="shared" si="1"/>
        <v>35.926824212271974</v>
      </c>
      <c r="I16" s="82"/>
      <c r="L16" s="69"/>
      <c r="M16" s="69"/>
    </row>
    <row r="17" spans="1:13">
      <c r="A17" s="69" t="s">
        <v>53</v>
      </c>
      <c r="B17" s="68">
        <v>49.463542506855944</v>
      </c>
      <c r="C17" s="69" t="s">
        <v>267</v>
      </c>
      <c r="E17" s="69"/>
      <c r="F17" s="68">
        <f t="shared" si="0"/>
        <v>49.463542506855944</v>
      </c>
      <c r="G17" s="69" t="s">
        <v>267</v>
      </c>
      <c r="H17" s="81">
        <f t="shared" si="1"/>
        <v>49.463542506855944</v>
      </c>
      <c r="I17" s="82"/>
      <c r="L17" s="69"/>
      <c r="M17" s="69"/>
    </row>
    <row r="18" spans="1:13">
      <c r="A18" s="69" t="s">
        <v>54</v>
      </c>
      <c r="B18" s="68">
        <v>39.849201806271068</v>
      </c>
      <c r="C18" s="69" t="s">
        <v>267</v>
      </c>
      <c r="E18" s="69"/>
      <c r="F18" s="68">
        <f t="shared" si="0"/>
        <v>39.849201806271068</v>
      </c>
      <c r="G18" s="69" t="s">
        <v>267</v>
      </c>
      <c r="H18" s="81">
        <f t="shared" si="1"/>
        <v>39.849201806271068</v>
      </c>
      <c r="I18" s="82"/>
      <c r="L18" s="69"/>
      <c r="M18" s="69"/>
    </row>
    <row r="19" spans="1:13">
      <c r="A19" s="69" t="s">
        <v>55</v>
      </c>
      <c r="B19" s="68">
        <v>42.074456061034191</v>
      </c>
      <c r="C19" s="69" t="s">
        <v>267</v>
      </c>
      <c r="E19" s="69"/>
      <c r="F19" s="68">
        <f t="shared" si="0"/>
        <v>42.074456061034191</v>
      </c>
      <c r="G19" s="69" t="s">
        <v>267</v>
      </c>
      <c r="H19" s="81">
        <f t="shared" si="1"/>
        <v>42.074456061034191</v>
      </c>
      <c r="I19" s="82"/>
      <c r="L19" s="69"/>
      <c r="M19" s="69"/>
    </row>
    <row r="20" spans="1:13">
      <c r="A20" s="69" t="s">
        <v>56</v>
      </c>
      <c r="B20" s="68">
        <v>50.603953468031136</v>
      </c>
      <c r="C20" s="69" t="s">
        <v>267</v>
      </c>
      <c r="E20" s="69"/>
      <c r="F20" s="68">
        <f t="shared" si="0"/>
        <v>50.603953468031136</v>
      </c>
      <c r="G20" s="69" t="s">
        <v>267</v>
      </c>
      <c r="H20" s="81">
        <f t="shared" si="1"/>
        <v>50.603953468031136</v>
      </c>
      <c r="I20" s="82"/>
      <c r="L20" s="69"/>
      <c r="M20" s="69"/>
    </row>
    <row r="21" spans="1:13">
      <c r="A21" s="69" t="s">
        <v>57</v>
      </c>
      <c r="B21" s="68">
        <v>42.074456061034191</v>
      </c>
      <c r="C21" s="69" t="s">
        <v>265</v>
      </c>
      <c r="D21" s="69" t="s">
        <v>270</v>
      </c>
      <c r="E21" s="69">
        <v>43.34</v>
      </c>
      <c r="F21" s="68">
        <f t="shared" si="0"/>
        <v>43.34</v>
      </c>
      <c r="G21" s="69" t="s">
        <v>267</v>
      </c>
      <c r="H21" s="81">
        <f t="shared" si="1"/>
        <v>43.34</v>
      </c>
      <c r="I21" s="82"/>
      <c r="L21" s="69"/>
      <c r="M21" s="69"/>
    </row>
    <row r="22" spans="1:13">
      <c r="A22" s="69" t="s">
        <v>58</v>
      </c>
      <c r="B22" s="68">
        <v>45.092433039895113</v>
      </c>
      <c r="C22" s="69" t="s">
        <v>267</v>
      </c>
      <c r="E22" s="69"/>
      <c r="F22" s="68">
        <f t="shared" si="0"/>
        <v>45.092433039895113</v>
      </c>
      <c r="G22" s="69" t="s">
        <v>267</v>
      </c>
      <c r="H22" s="81">
        <f t="shared" si="1"/>
        <v>45.092433039895113</v>
      </c>
      <c r="I22" s="82"/>
      <c r="L22" s="69"/>
      <c r="M22" s="69"/>
    </row>
    <row r="23" spans="1:13">
      <c r="A23" s="69" t="s">
        <v>59</v>
      </c>
      <c r="B23" s="68">
        <v>71.054285372276752</v>
      </c>
      <c r="C23" s="69" t="s">
        <v>267</v>
      </c>
      <c r="E23" s="69"/>
      <c r="F23" s="68">
        <f t="shared" si="0"/>
        <v>71.054285372276752</v>
      </c>
      <c r="G23" s="69" t="s">
        <v>267</v>
      </c>
      <c r="H23" s="81">
        <f t="shared" si="1"/>
        <v>71.054285372276752</v>
      </c>
      <c r="I23" s="82"/>
      <c r="L23" s="69"/>
      <c r="M23" s="69"/>
    </row>
    <row r="24" spans="1:13">
      <c r="A24" s="85" t="s">
        <v>60</v>
      </c>
      <c r="B24" s="68">
        <v>0</v>
      </c>
      <c r="C24" s="69" t="s">
        <v>265</v>
      </c>
      <c r="D24" s="69" t="s">
        <v>271</v>
      </c>
      <c r="E24" s="69">
        <v>105.1</v>
      </c>
      <c r="F24" s="68">
        <f t="shared" si="0"/>
        <v>105.1</v>
      </c>
      <c r="G24" s="69" t="s">
        <v>267</v>
      </c>
      <c r="H24" s="81">
        <f t="shared" si="1"/>
        <v>105.1</v>
      </c>
      <c r="I24" s="82"/>
      <c r="L24" s="69"/>
      <c r="M24" s="69"/>
    </row>
    <row r="25" spans="1:13">
      <c r="A25" s="69" t="s">
        <v>62</v>
      </c>
      <c r="B25" s="68">
        <v>46.143169133705413</v>
      </c>
      <c r="C25" s="69" t="s">
        <v>267</v>
      </c>
      <c r="E25" s="69"/>
      <c r="F25" s="68">
        <f t="shared" si="0"/>
        <v>46.143169133705413</v>
      </c>
      <c r="G25" s="69" t="s">
        <v>267</v>
      </c>
      <c r="H25" s="81">
        <f t="shared" si="1"/>
        <v>46.143169133705413</v>
      </c>
      <c r="I25" s="82"/>
      <c r="L25" s="69"/>
      <c r="M25" s="69"/>
    </row>
    <row r="26" spans="1:13">
      <c r="A26" s="69" t="s">
        <v>63</v>
      </c>
      <c r="B26" s="68">
        <v>58.929033100476595</v>
      </c>
      <c r="C26" s="69" t="s">
        <v>267</v>
      </c>
      <c r="E26" s="69"/>
      <c r="F26" s="68">
        <f t="shared" si="0"/>
        <v>58.929033100476595</v>
      </c>
      <c r="G26" s="69" t="s">
        <v>267</v>
      </c>
      <c r="H26" s="81">
        <f t="shared" si="1"/>
        <v>58.929033100476595</v>
      </c>
      <c r="I26" s="82"/>
      <c r="L26" s="69"/>
      <c r="M26" s="69"/>
    </row>
    <row r="27" spans="1:13">
      <c r="A27" s="69" t="s">
        <v>64</v>
      </c>
      <c r="B27" s="68">
        <v>52.671633438265133</v>
      </c>
      <c r="C27" s="69" t="s">
        <v>267</v>
      </c>
      <c r="E27" s="69"/>
      <c r="F27" s="68">
        <f t="shared" si="0"/>
        <v>52.671633438265133</v>
      </c>
      <c r="G27" s="69" t="s">
        <v>267</v>
      </c>
      <c r="H27" s="81">
        <f t="shared" si="1"/>
        <v>52.671633438265133</v>
      </c>
      <c r="I27" s="82"/>
      <c r="L27" s="69"/>
      <c r="M27" s="69"/>
    </row>
    <row r="28" spans="1:13">
      <c r="A28" s="69" t="s">
        <v>65</v>
      </c>
      <c r="B28" s="68">
        <v>73.065895810021132</v>
      </c>
      <c r="C28" s="69" t="s">
        <v>265</v>
      </c>
      <c r="D28" s="69" t="s">
        <v>272</v>
      </c>
      <c r="E28" s="69">
        <v>86.73</v>
      </c>
      <c r="F28" s="68">
        <f t="shared" si="0"/>
        <v>86.73</v>
      </c>
      <c r="G28" s="69" t="s">
        <v>267</v>
      </c>
      <c r="H28" s="81">
        <f t="shared" si="1"/>
        <v>86.73</v>
      </c>
      <c r="I28" s="82"/>
      <c r="L28" s="69"/>
      <c r="M28" s="69"/>
    </row>
    <row r="29" spans="1:13">
      <c r="A29" s="69" t="s">
        <v>240</v>
      </c>
      <c r="B29" s="68">
        <v>71.271864808775575</v>
      </c>
      <c r="C29" s="69" t="s">
        <v>267</v>
      </c>
      <c r="E29" s="69"/>
      <c r="F29" s="68">
        <f t="shared" si="0"/>
        <v>71.271864808775575</v>
      </c>
      <c r="G29" s="69" t="s">
        <v>267</v>
      </c>
      <c r="H29" s="81">
        <f t="shared" si="1"/>
        <v>71.271864808775575</v>
      </c>
      <c r="I29" s="82"/>
      <c r="L29" s="69"/>
      <c r="M29" s="69"/>
    </row>
    <row r="30" spans="1:13">
      <c r="A30" s="69" t="s">
        <v>66</v>
      </c>
      <c r="B30" s="68">
        <v>61.766183396435501</v>
      </c>
      <c r="C30" s="69" t="s">
        <v>267</v>
      </c>
      <c r="E30" s="69"/>
      <c r="F30" s="68">
        <f t="shared" si="0"/>
        <v>61.766183396435501</v>
      </c>
      <c r="G30" s="69" t="s">
        <v>267</v>
      </c>
      <c r="H30" s="81">
        <f t="shared" si="1"/>
        <v>61.766183396435501</v>
      </c>
      <c r="I30" s="82"/>
      <c r="L30" s="69"/>
      <c r="M30" s="69"/>
    </row>
    <row r="31" spans="1:13">
      <c r="A31" s="69" t="s">
        <v>67</v>
      </c>
      <c r="B31" s="68">
        <v>52.612781954887218</v>
      </c>
      <c r="C31" s="69" t="s">
        <v>267</v>
      </c>
      <c r="E31" s="69"/>
      <c r="F31" s="68">
        <f t="shared" si="0"/>
        <v>52.612781954887218</v>
      </c>
      <c r="G31" s="69" t="s">
        <v>267</v>
      </c>
      <c r="H31" s="81">
        <f t="shared" si="1"/>
        <v>52.612781954887218</v>
      </c>
      <c r="I31" s="82"/>
      <c r="L31" s="69"/>
      <c r="M31" s="69"/>
    </row>
    <row r="32" spans="1:13">
      <c r="A32" s="69" t="s">
        <v>68</v>
      </c>
      <c r="B32" s="68">
        <v>46.74619848674061</v>
      </c>
      <c r="C32" s="69" t="s">
        <v>267</v>
      </c>
      <c r="E32" s="69"/>
      <c r="F32" s="68">
        <f t="shared" si="0"/>
        <v>46.74619848674061</v>
      </c>
      <c r="G32" s="69" t="s">
        <v>267</v>
      </c>
      <c r="H32" s="81">
        <f t="shared" si="1"/>
        <v>46.74619848674061</v>
      </c>
      <c r="I32" s="82"/>
      <c r="L32" s="69"/>
      <c r="M32" s="69"/>
    </row>
    <row r="33" spans="1:13">
      <c r="A33" s="69" t="s">
        <v>69</v>
      </c>
      <c r="B33" s="68">
        <v>52.351845854922281</v>
      </c>
      <c r="C33" s="69" t="s">
        <v>267</v>
      </c>
      <c r="E33" s="69"/>
      <c r="F33" s="68">
        <f t="shared" si="0"/>
        <v>52.351845854922281</v>
      </c>
      <c r="G33" s="69" t="s">
        <v>267</v>
      </c>
      <c r="H33" s="81">
        <f t="shared" si="1"/>
        <v>52.351845854922281</v>
      </c>
      <c r="I33" s="82"/>
      <c r="L33" s="69"/>
      <c r="M33" s="69"/>
    </row>
    <row r="34" spans="1:13">
      <c r="A34" s="69" t="s">
        <v>70</v>
      </c>
      <c r="B34" s="68">
        <v>35.664656890296868</v>
      </c>
      <c r="C34" s="69" t="s">
        <v>267</v>
      </c>
      <c r="E34" s="69"/>
      <c r="F34" s="68">
        <f t="shared" si="0"/>
        <v>35.664656890296868</v>
      </c>
      <c r="G34" s="69" t="s">
        <v>267</v>
      </c>
      <c r="H34" s="81">
        <f t="shared" si="1"/>
        <v>35.664656890296868</v>
      </c>
      <c r="I34" s="82"/>
      <c r="L34" s="69"/>
      <c r="M34" s="69"/>
    </row>
    <row r="35" spans="1:13">
      <c r="A35" s="69" t="s">
        <v>71</v>
      </c>
      <c r="B35" s="68">
        <v>55.042945283325217</v>
      </c>
      <c r="C35" s="69" t="s">
        <v>267</v>
      </c>
      <c r="E35" s="69"/>
      <c r="F35" s="68">
        <f t="shared" si="0"/>
        <v>55.042945283325217</v>
      </c>
      <c r="G35" s="69" t="s">
        <v>267</v>
      </c>
      <c r="H35" s="81">
        <f t="shared" si="1"/>
        <v>55.042945283325217</v>
      </c>
      <c r="I35" s="82"/>
      <c r="L35" s="69"/>
      <c r="M35" s="69"/>
    </row>
    <row r="36" spans="1:13">
      <c r="A36" s="69" t="s">
        <v>72</v>
      </c>
      <c r="B36" s="68">
        <v>32.704175578908213</v>
      </c>
      <c r="C36" s="69" t="s">
        <v>267</v>
      </c>
      <c r="E36" s="69"/>
      <c r="F36" s="68">
        <f t="shared" si="0"/>
        <v>32.704175578908213</v>
      </c>
      <c r="G36" s="69" t="s">
        <v>267</v>
      </c>
      <c r="H36" s="81">
        <f t="shared" si="1"/>
        <v>32.704175578908213</v>
      </c>
      <c r="I36" s="82"/>
      <c r="L36" s="69"/>
      <c r="M36" s="69"/>
    </row>
    <row r="37" spans="1:13">
      <c r="A37" s="69" t="s">
        <v>73</v>
      </c>
      <c r="B37" s="68">
        <v>53.734553592838303</v>
      </c>
      <c r="C37" s="69" t="s">
        <v>267</v>
      </c>
      <c r="E37" s="69"/>
      <c r="F37" s="68">
        <f t="shared" si="0"/>
        <v>53.734553592838303</v>
      </c>
      <c r="G37" s="69" t="s">
        <v>267</v>
      </c>
      <c r="H37" s="81">
        <f t="shared" si="1"/>
        <v>53.734553592838303</v>
      </c>
      <c r="I37" s="82"/>
      <c r="L37" s="69"/>
      <c r="M37" s="69"/>
    </row>
    <row r="38" spans="1:13">
      <c r="A38" s="69" t="s">
        <v>74</v>
      </c>
      <c r="B38" s="68">
        <v>63.678999721111836</v>
      </c>
      <c r="C38" s="69" t="s">
        <v>267</v>
      </c>
      <c r="E38" s="69"/>
      <c r="F38" s="68">
        <f t="shared" si="0"/>
        <v>63.678999721111836</v>
      </c>
      <c r="G38" s="69" t="s">
        <v>267</v>
      </c>
      <c r="H38" s="81">
        <f t="shared" si="1"/>
        <v>63.678999721111836</v>
      </c>
      <c r="I38" s="82"/>
      <c r="L38" s="69"/>
      <c r="M38" s="69"/>
    </row>
    <row r="39" spans="1:13">
      <c r="A39" s="69" t="s">
        <v>75</v>
      </c>
      <c r="B39" s="68">
        <v>60.008860435339315</v>
      </c>
      <c r="C39" s="69" t="s">
        <v>267</v>
      </c>
      <c r="E39" s="69"/>
      <c r="F39" s="68">
        <f t="shared" si="0"/>
        <v>60.008860435339315</v>
      </c>
      <c r="G39" s="69" t="s">
        <v>267</v>
      </c>
      <c r="H39" s="81">
        <f t="shared" si="1"/>
        <v>60.008860435339315</v>
      </c>
      <c r="I39" s="82"/>
      <c r="L39" s="69"/>
      <c r="M39" s="69"/>
    </row>
    <row r="40" spans="1:13">
      <c r="A40" s="69" t="s">
        <v>76</v>
      </c>
      <c r="B40" s="68">
        <v>53.399756202495333</v>
      </c>
      <c r="C40" s="69" t="s">
        <v>267</v>
      </c>
      <c r="E40" s="69"/>
      <c r="F40" s="68">
        <f t="shared" si="0"/>
        <v>53.399756202495333</v>
      </c>
      <c r="G40" s="69" t="s">
        <v>267</v>
      </c>
      <c r="H40" s="81">
        <f t="shared" si="1"/>
        <v>53.399756202495333</v>
      </c>
      <c r="I40" s="82"/>
      <c r="L40" s="69"/>
      <c r="M40" s="69"/>
    </row>
    <row r="41" spans="1:13">
      <c r="A41" s="69" t="s">
        <v>77</v>
      </c>
      <c r="B41" s="68">
        <v>47.307374703621939</v>
      </c>
      <c r="C41" s="69" t="s">
        <v>267</v>
      </c>
      <c r="E41" s="69"/>
      <c r="F41" s="68">
        <f t="shared" si="0"/>
        <v>47.307374703621939</v>
      </c>
      <c r="G41" s="69" t="s">
        <v>267</v>
      </c>
      <c r="H41" s="81">
        <f t="shared" si="1"/>
        <v>47.307374703621939</v>
      </c>
      <c r="I41" s="82"/>
      <c r="L41" s="69"/>
      <c r="M41" s="69"/>
    </row>
    <row r="42" spans="1:13">
      <c r="A42" s="69" t="s">
        <v>78</v>
      </c>
      <c r="B42" s="68">
        <v>69.009811645061959</v>
      </c>
      <c r="C42" s="69" t="s">
        <v>267</v>
      </c>
      <c r="E42" s="69"/>
      <c r="F42" s="68">
        <f t="shared" si="0"/>
        <v>69.009811645061959</v>
      </c>
      <c r="G42" s="69" t="s">
        <v>267</v>
      </c>
      <c r="H42" s="81">
        <f t="shared" si="1"/>
        <v>69.009811645061959</v>
      </c>
      <c r="I42" s="82"/>
      <c r="L42" s="69"/>
      <c r="M42" s="69"/>
    </row>
    <row r="43" spans="1:13">
      <c r="A43" s="69" t="s">
        <v>79</v>
      </c>
      <c r="B43" s="68">
        <v>53.45083754015603</v>
      </c>
      <c r="C43" s="69" t="s">
        <v>267</v>
      </c>
      <c r="E43" s="69"/>
      <c r="F43" s="68">
        <f t="shared" si="0"/>
        <v>53.45083754015603</v>
      </c>
      <c r="G43" s="69" t="s">
        <v>267</v>
      </c>
      <c r="H43" s="81">
        <f t="shared" si="1"/>
        <v>53.45083754015603</v>
      </c>
      <c r="I43" s="82"/>
      <c r="L43" s="69"/>
      <c r="M43" s="69"/>
    </row>
    <row r="44" spans="1:13">
      <c r="A44" s="69" t="s">
        <v>80</v>
      </c>
      <c r="B44" s="68">
        <v>38.635642517186675</v>
      </c>
      <c r="C44" s="69" t="s">
        <v>267</v>
      </c>
      <c r="E44" s="69"/>
      <c r="F44" s="68">
        <f t="shared" si="0"/>
        <v>38.635642517186675</v>
      </c>
      <c r="G44" s="69" t="s">
        <v>267</v>
      </c>
      <c r="H44" s="81">
        <f t="shared" si="1"/>
        <v>38.635642517186675</v>
      </c>
      <c r="I44" s="82"/>
      <c r="L44" s="69"/>
      <c r="M44" s="69"/>
    </row>
    <row r="45" spans="1:13">
      <c r="A45" s="69" t="s">
        <v>81</v>
      </c>
      <c r="B45" s="68">
        <v>37.146665473900789</v>
      </c>
      <c r="C45" s="69" t="s">
        <v>267</v>
      </c>
      <c r="F45" s="68">
        <f t="shared" si="0"/>
        <v>37.146665473900789</v>
      </c>
      <c r="G45" s="69" t="s">
        <v>267</v>
      </c>
      <c r="H45" s="81">
        <f t="shared" si="1"/>
        <v>37.146665473900789</v>
      </c>
      <c r="I45" s="82"/>
      <c r="L45" s="69"/>
      <c r="M45" s="69"/>
    </row>
    <row r="46" spans="1:13">
      <c r="A46" s="69" t="s">
        <v>82</v>
      </c>
      <c r="B46" s="68">
        <v>37.146665473900789</v>
      </c>
      <c r="C46" s="69" t="s">
        <v>265</v>
      </c>
      <c r="D46" s="69" t="s">
        <v>81</v>
      </c>
      <c r="E46" s="69">
        <v>37.15</v>
      </c>
      <c r="F46" s="68">
        <f t="shared" si="0"/>
        <v>37.15</v>
      </c>
      <c r="G46" s="69" t="s">
        <v>267</v>
      </c>
      <c r="H46" s="81">
        <f t="shared" si="1"/>
        <v>37.15</v>
      </c>
      <c r="I46" s="82"/>
      <c r="L46" s="69"/>
      <c r="M46" s="69"/>
    </row>
    <row r="47" spans="1:13">
      <c r="A47" s="69" t="s">
        <v>83</v>
      </c>
      <c r="B47" s="68">
        <v>37.146665473900789</v>
      </c>
      <c r="C47" s="69" t="s">
        <v>265</v>
      </c>
      <c r="D47" s="69" t="s">
        <v>273</v>
      </c>
      <c r="E47" s="69">
        <v>45.85</v>
      </c>
      <c r="F47" s="68">
        <f t="shared" si="0"/>
        <v>45.85</v>
      </c>
      <c r="G47" s="69" t="s">
        <v>267</v>
      </c>
      <c r="H47" s="81">
        <f t="shared" si="1"/>
        <v>45.85</v>
      </c>
      <c r="I47" s="82"/>
      <c r="L47" s="69"/>
      <c r="M47" s="69"/>
    </row>
    <row r="48" spans="1:13">
      <c r="A48" s="69" t="s">
        <v>84</v>
      </c>
      <c r="B48" s="68">
        <v>37.146665473900789</v>
      </c>
      <c r="C48" s="69" t="s">
        <v>265</v>
      </c>
      <c r="D48" s="69" t="s">
        <v>274</v>
      </c>
      <c r="E48" s="69">
        <v>56.78</v>
      </c>
      <c r="F48" s="68">
        <f t="shared" si="0"/>
        <v>56.78</v>
      </c>
      <c r="G48" s="69" t="s">
        <v>267</v>
      </c>
      <c r="H48" s="81">
        <f t="shared" si="1"/>
        <v>56.78</v>
      </c>
      <c r="I48" s="82"/>
      <c r="L48" s="69"/>
      <c r="M48" s="69"/>
    </row>
    <row r="49" spans="1:13">
      <c r="A49" s="69" t="s">
        <v>85</v>
      </c>
      <c r="B49" s="68">
        <v>37.146665473900789</v>
      </c>
      <c r="C49" s="69" t="s">
        <v>265</v>
      </c>
      <c r="D49" s="69" t="s">
        <v>275</v>
      </c>
      <c r="E49" s="69">
        <v>39.909999999999997</v>
      </c>
      <c r="F49" s="68">
        <f t="shared" si="0"/>
        <v>39.909999999999997</v>
      </c>
      <c r="G49" s="69" t="s">
        <v>267</v>
      </c>
      <c r="H49" s="81">
        <f t="shared" si="1"/>
        <v>39.909999999999997</v>
      </c>
      <c r="I49" s="82"/>
      <c r="L49" s="69"/>
      <c r="M49" s="69"/>
    </row>
    <row r="50" spans="1:13">
      <c r="A50" s="69" t="s">
        <v>86</v>
      </c>
      <c r="B50" s="68">
        <v>38.66003741262184</v>
      </c>
      <c r="C50" s="69" t="s">
        <v>267</v>
      </c>
      <c r="E50" s="69"/>
      <c r="F50" s="68">
        <f t="shared" si="0"/>
        <v>38.66003741262184</v>
      </c>
      <c r="G50" s="69" t="s">
        <v>267</v>
      </c>
      <c r="H50" s="81">
        <f t="shared" si="1"/>
        <v>38.66003741262184</v>
      </c>
      <c r="I50" s="82"/>
      <c r="L50" s="69"/>
      <c r="M50" s="69"/>
    </row>
    <row r="51" spans="1:13">
      <c r="A51" s="69" t="s">
        <v>87</v>
      </c>
      <c r="B51" s="68">
        <v>41.946101180903369</v>
      </c>
      <c r="C51" s="69" t="s">
        <v>267</v>
      </c>
      <c r="E51" s="69"/>
      <c r="F51" s="68">
        <f t="shared" si="0"/>
        <v>41.946101180903369</v>
      </c>
      <c r="G51" s="69" t="s">
        <v>267</v>
      </c>
      <c r="H51" s="81">
        <f t="shared" si="1"/>
        <v>41.946101180903369</v>
      </c>
      <c r="I51" s="82"/>
      <c r="L51" s="69"/>
      <c r="M51" s="69"/>
    </row>
    <row r="52" spans="1:13">
      <c r="A52" s="69" t="s">
        <v>88</v>
      </c>
      <c r="B52" s="68">
        <v>49.284279077155226</v>
      </c>
      <c r="C52" s="69" t="s">
        <v>267</v>
      </c>
      <c r="E52" s="69"/>
      <c r="F52" s="68">
        <f t="shared" si="0"/>
        <v>49.284279077155226</v>
      </c>
      <c r="G52" s="69" t="s">
        <v>267</v>
      </c>
      <c r="H52" s="81">
        <f t="shared" si="1"/>
        <v>49.284279077155226</v>
      </c>
      <c r="I52" s="82"/>
      <c r="L52" s="69"/>
      <c r="M52" s="69"/>
    </row>
    <row r="53" spans="1:13">
      <c r="A53" s="69" t="s">
        <v>89</v>
      </c>
      <c r="B53" s="68">
        <v>54.55650813091107</v>
      </c>
      <c r="C53" s="69" t="s">
        <v>267</v>
      </c>
      <c r="E53" s="69"/>
      <c r="F53" s="68">
        <f t="shared" si="0"/>
        <v>54.55650813091107</v>
      </c>
      <c r="G53" s="69" t="s">
        <v>267</v>
      </c>
      <c r="H53" s="81">
        <f t="shared" si="1"/>
        <v>54.55650813091107</v>
      </c>
      <c r="I53" s="82"/>
      <c r="L53" s="69"/>
      <c r="M53" s="69"/>
    </row>
    <row r="54" spans="1:13">
      <c r="A54" s="69" t="s">
        <v>90</v>
      </c>
      <c r="B54" s="68">
        <v>53.568590382566256</v>
      </c>
      <c r="C54" s="69" t="s">
        <v>267</v>
      </c>
      <c r="E54" s="69"/>
      <c r="F54" s="68">
        <f t="shared" si="0"/>
        <v>53.568590382566256</v>
      </c>
      <c r="G54" s="69" t="s">
        <v>267</v>
      </c>
      <c r="H54" s="81">
        <f t="shared" si="1"/>
        <v>53.568590382566256</v>
      </c>
      <c r="I54" s="82"/>
      <c r="L54" s="69"/>
      <c r="M54" s="69"/>
    </row>
    <row r="55" spans="1:13">
      <c r="A55" s="69" t="s">
        <v>91</v>
      </c>
      <c r="B55" s="68">
        <v>48.437622652088592</v>
      </c>
      <c r="C55" s="69" t="s">
        <v>267</v>
      </c>
      <c r="F55" s="68">
        <f t="shared" si="0"/>
        <v>48.437622652088592</v>
      </c>
      <c r="G55" s="69" t="s">
        <v>267</v>
      </c>
      <c r="H55" s="81">
        <f t="shared" si="1"/>
        <v>48.437622652088592</v>
      </c>
      <c r="I55" s="82"/>
      <c r="L55" s="69"/>
      <c r="M55" s="69"/>
    </row>
    <row r="56" spans="1:13">
      <c r="A56" s="69" t="s">
        <v>92</v>
      </c>
      <c r="B56" s="68">
        <v>60.02</v>
      </c>
      <c r="C56" s="69" t="s">
        <v>267</v>
      </c>
      <c r="D56" s="85" t="s">
        <v>276</v>
      </c>
      <c r="E56" s="85"/>
      <c r="F56" s="86">
        <f t="shared" si="0"/>
        <v>60.02</v>
      </c>
      <c r="G56" s="85" t="s">
        <v>267</v>
      </c>
      <c r="H56" s="81">
        <f t="shared" si="1"/>
        <v>60.02</v>
      </c>
      <c r="I56" s="82"/>
      <c r="L56" s="69"/>
      <c r="M56" s="69"/>
    </row>
    <row r="57" spans="1:13">
      <c r="A57" s="69" t="s">
        <v>93</v>
      </c>
      <c r="B57" s="68">
        <v>54.55650813091107</v>
      </c>
      <c r="C57" s="69" t="s">
        <v>265</v>
      </c>
      <c r="D57" s="69" t="s">
        <v>89</v>
      </c>
      <c r="E57" s="69">
        <v>54.56</v>
      </c>
      <c r="F57" s="68">
        <f t="shared" si="0"/>
        <v>54.56</v>
      </c>
      <c r="G57" s="69" t="s">
        <v>267</v>
      </c>
      <c r="H57" s="81">
        <f t="shared" si="1"/>
        <v>54.56</v>
      </c>
      <c r="I57" s="82"/>
      <c r="L57" s="69"/>
      <c r="M57" s="69"/>
    </row>
    <row r="58" spans="1:13">
      <c r="A58" s="69" t="s">
        <v>94</v>
      </c>
      <c r="B58" s="68">
        <v>56.928471948495599</v>
      </c>
      <c r="C58" s="69" t="s">
        <v>267</v>
      </c>
      <c r="E58" s="69"/>
      <c r="F58" s="68">
        <f t="shared" si="0"/>
        <v>56.928471948495599</v>
      </c>
      <c r="G58" s="69" t="s">
        <v>267</v>
      </c>
      <c r="H58" s="81">
        <f t="shared" si="1"/>
        <v>56.928471948495599</v>
      </c>
      <c r="I58" s="82"/>
      <c r="L58" s="69"/>
      <c r="M58" s="69"/>
    </row>
    <row r="59" spans="1:13">
      <c r="A59" s="69" t="s">
        <v>95</v>
      </c>
      <c r="B59" s="68">
        <v>60.106497218788626</v>
      </c>
      <c r="C59" s="69" t="s">
        <v>267</v>
      </c>
      <c r="E59" s="69"/>
      <c r="F59" s="68">
        <f t="shared" si="0"/>
        <v>60.106497218788626</v>
      </c>
      <c r="G59" s="69" t="s">
        <v>267</v>
      </c>
      <c r="H59" s="81">
        <f t="shared" si="1"/>
        <v>60.106497218788626</v>
      </c>
      <c r="I59" s="82"/>
      <c r="L59" s="69"/>
      <c r="M59" s="69"/>
    </row>
    <row r="60" spans="1:13">
      <c r="A60" s="69" t="s">
        <v>96</v>
      </c>
      <c r="B60" s="68">
        <v>61.224272663902859</v>
      </c>
      <c r="C60" s="69" t="s">
        <v>267</v>
      </c>
      <c r="E60" s="69"/>
      <c r="F60" s="68">
        <f t="shared" si="0"/>
        <v>61.224272663902859</v>
      </c>
      <c r="G60" s="69" t="s">
        <v>267</v>
      </c>
      <c r="H60" s="81">
        <f t="shared" si="1"/>
        <v>61.224272663902859</v>
      </c>
      <c r="I60" s="82"/>
      <c r="L60" s="69"/>
      <c r="M60" s="69"/>
    </row>
    <row r="61" spans="1:13">
      <c r="A61" s="69" t="s">
        <v>97</v>
      </c>
      <c r="B61" s="68">
        <v>49.412072346916538</v>
      </c>
      <c r="C61" s="69" t="s">
        <v>267</v>
      </c>
      <c r="E61" s="69"/>
      <c r="F61" s="68">
        <f t="shared" si="0"/>
        <v>49.412072346916538</v>
      </c>
      <c r="G61" s="69" t="s">
        <v>267</v>
      </c>
      <c r="H61" s="81">
        <f t="shared" si="1"/>
        <v>49.412072346916538</v>
      </c>
      <c r="I61" s="82"/>
      <c r="L61" s="69"/>
      <c r="M61" s="69"/>
    </row>
    <row r="62" spans="1:13">
      <c r="A62" s="69" t="s">
        <v>242</v>
      </c>
      <c r="B62" s="68">
        <v>119.01598245064243</v>
      </c>
      <c r="C62" s="69" t="s">
        <v>267</v>
      </c>
      <c r="E62" s="69"/>
      <c r="F62" s="68">
        <f t="shared" si="0"/>
        <v>119.01598245064243</v>
      </c>
      <c r="G62" s="69" t="s">
        <v>267</v>
      </c>
      <c r="H62" s="81">
        <f t="shared" si="1"/>
        <v>119.01598245064243</v>
      </c>
      <c r="I62" s="82"/>
      <c r="L62" s="69"/>
      <c r="M62" s="69"/>
    </row>
    <row r="63" spans="1:13">
      <c r="A63" s="69" t="s">
        <v>98</v>
      </c>
      <c r="B63" s="68">
        <v>38.91984010098885</v>
      </c>
      <c r="C63" s="69" t="s">
        <v>267</v>
      </c>
      <c r="F63" s="68">
        <f t="shared" si="0"/>
        <v>38.91984010098885</v>
      </c>
      <c r="G63" s="69" t="s">
        <v>267</v>
      </c>
      <c r="H63" s="81">
        <f t="shared" si="1"/>
        <v>38.91984010098885</v>
      </c>
      <c r="I63" s="82"/>
      <c r="L63" s="69"/>
      <c r="M63" s="69"/>
    </row>
    <row r="64" spans="1:13">
      <c r="A64" s="69" t="s">
        <v>99</v>
      </c>
      <c r="B64" s="68">
        <v>46.890722591783884</v>
      </c>
      <c r="C64" s="69" t="s">
        <v>267</v>
      </c>
      <c r="F64" s="68">
        <f t="shared" si="0"/>
        <v>46.890722591783884</v>
      </c>
      <c r="G64" s="69" t="s">
        <v>267</v>
      </c>
      <c r="H64" s="81">
        <f t="shared" si="1"/>
        <v>46.890722591783884</v>
      </c>
      <c r="I64" s="82"/>
      <c r="L64" s="69"/>
      <c r="M64" s="69"/>
    </row>
    <row r="65" spans="1:15">
      <c r="A65" s="69" t="s">
        <v>100</v>
      </c>
      <c r="B65" s="68">
        <v>38.91984010098885</v>
      </c>
      <c r="C65" s="69" t="s">
        <v>265</v>
      </c>
      <c r="D65" s="69" t="s">
        <v>98</v>
      </c>
      <c r="E65" s="69">
        <v>38.92</v>
      </c>
      <c r="F65" s="68">
        <f t="shared" si="0"/>
        <v>38.92</v>
      </c>
      <c r="G65" s="69" t="s">
        <v>267</v>
      </c>
      <c r="H65" s="81">
        <f t="shared" si="1"/>
        <v>38.92</v>
      </c>
      <c r="I65" s="82"/>
      <c r="L65" s="69"/>
      <c r="M65" s="69"/>
    </row>
    <row r="66" spans="1:15">
      <c r="A66" s="69" t="s">
        <v>101</v>
      </c>
      <c r="B66" s="68">
        <v>38.91984010098885</v>
      </c>
      <c r="C66" s="69" t="s">
        <v>265</v>
      </c>
      <c r="D66" s="69" t="s">
        <v>98</v>
      </c>
      <c r="E66" s="69">
        <v>38.92</v>
      </c>
      <c r="F66" s="68">
        <f t="shared" si="0"/>
        <v>38.92</v>
      </c>
      <c r="G66" s="69" t="s">
        <v>267</v>
      </c>
      <c r="H66" s="81">
        <f t="shared" si="1"/>
        <v>38.92</v>
      </c>
      <c r="I66" s="82"/>
      <c r="L66" s="69"/>
      <c r="M66" s="69"/>
    </row>
    <row r="67" spans="1:15">
      <c r="A67" s="69" t="s">
        <v>102</v>
      </c>
      <c r="B67" s="68">
        <v>38.91984010098885</v>
      </c>
      <c r="C67" s="69" t="s">
        <v>265</v>
      </c>
      <c r="D67" s="69" t="s">
        <v>98</v>
      </c>
      <c r="E67" s="69">
        <v>38.92</v>
      </c>
      <c r="F67" s="68">
        <f t="shared" si="0"/>
        <v>38.92</v>
      </c>
      <c r="G67" s="69" t="s">
        <v>267</v>
      </c>
      <c r="H67" s="81">
        <f t="shared" si="1"/>
        <v>38.92</v>
      </c>
      <c r="I67" s="82"/>
      <c r="L67" s="69"/>
      <c r="M67" s="69"/>
    </row>
    <row r="68" spans="1:15">
      <c r="A68" s="69" t="s">
        <v>103</v>
      </c>
      <c r="B68" s="68">
        <v>38.91984010098885</v>
      </c>
      <c r="C68" s="69" t="s">
        <v>265</v>
      </c>
      <c r="D68" s="69" t="s">
        <v>98</v>
      </c>
      <c r="E68" s="69">
        <v>38.92</v>
      </c>
      <c r="F68" s="68">
        <f t="shared" si="0"/>
        <v>38.92</v>
      </c>
      <c r="G68" s="69" t="s">
        <v>267</v>
      </c>
      <c r="H68" s="81">
        <f t="shared" si="1"/>
        <v>38.92</v>
      </c>
      <c r="I68" s="82"/>
      <c r="L68" s="69"/>
      <c r="M68" s="69"/>
    </row>
    <row r="69" spans="1:15">
      <c r="A69" s="69" t="s">
        <v>104</v>
      </c>
      <c r="B69" s="68">
        <v>62.10655153996796</v>
      </c>
      <c r="C69" s="69" t="s">
        <v>267</v>
      </c>
      <c r="E69" s="69"/>
      <c r="F69" s="68">
        <f t="shared" ref="F69:F132" si="2">IF(E69="",B69,E69)</f>
        <v>62.10655153996796</v>
      </c>
      <c r="G69" s="69" t="s">
        <v>267</v>
      </c>
      <c r="H69" s="81">
        <f t="shared" ref="H69:H132" si="3">IF(G69="Yes",F69*1.25,F69)</f>
        <v>62.10655153996796</v>
      </c>
      <c r="I69" s="82"/>
      <c r="L69" s="69"/>
      <c r="M69" s="69"/>
    </row>
    <row r="70" spans="1:15">
      <c r="A70" s="69" t="s">
        <v>105</v>
      </c>
      <c r="B70" s="68">
        <v>38.91984010098885</v>
      </c>
      <c r="C70" s="69" t="s">
        <v>265</v>
      </c>
      <c r="D70" s="69" t="s">
        <v>98</v>
      </c>
      <c r="E70" s="68">
        <v>38.92</v>
      </c>
      <c r="F70" s="68">
        <f t="shared" si="2"/>
        <v>38.92</v>
      </c>
      <c r="G70" s="69" t="s">
        <v>267</v>
      </c>
      <c r="H70" s="81">
        <f t="shared" si="3"/>
        <v>38.92</v>
      </c>
      <c r="I70" s="82"/>
      <c r="L70" s="69"/>
      <c r="M70" s="69"/>
    </row>
    <row r="71" spans="1:15">
      <c r="A71" s="69" t="s">
        <v>243</v>
      </c>
      <c r="B71" s="68">
        <v>62.10655153996796</v>
      </c>
      <c r="C71" s="69" t="s">
        <v>265</v>
      </c>
      <c r="D71" s="69" t="s">
        <v>104</v>
      </c>
      <c r="E71" s="69">
        <v>62.11</v>
      </c>
      <c r="F71" s="68">
        <f t="shared" si="2"/>
        <v>62.11</v>
      </c>
      <c r="G71" s="69" t="s">
        <v>267</v>
      </c>
      <c r="H71" s="81">
        <f t="shared" si="3"/>
        <v>62.11</v>
      </c>
      <c r="I71" s="82"/>
      <c r="L71" s="69"/>
      <c r="M71" s="69"/>
    </row>
    <row r="72" spans="1:15">
      <c r="A72" s="69" t="s">
        <v>106</v>
      </c>
      <c r="B72" s="68">
        <v>25.756625246310371</v>
      </c>
      <c r="C72" s="69" t="s">
        <v>267</v>
      </c>
      <c r="F72" s="68">
        <f t="shared" si="2"/>
        <v>25.756625246310371</v>
      </c>
      <c r="G72" s="69" t="s">
        <v>267</v>
      </c>
      <c r="H72" s="81">
        <f t="shared" si="3"/>
        <v>25.756625246310371</v>
      </c>
      <c r="I72" s="82"/>
      <c r="L72" s="69"/>
      <c r="M72" s="69"/>
    </row>
    <row r="73" spans="1:15">
      <c r="A73" s="69" t="s">
        <v>107</v>
      </c>
      <c r="B73" s="68">
        <v>57.980010576414593</v>
      </c>
      <c r="C73" s="69" t="s">
        <v>267</v>
      </c>
      <c r="F73" s="68">
        <f t="shared" si="2"/>
        <v>57.980010576414593</v>
      </c>
      <c r="G73" s="69" t="s">
        <v>265</v>
      </c>
      <c r="H73" s="81">
        <f t="shared" si="3"/>
        <v>72.475013220518235</v>
      </c>
      <c r="I73" s="82"/>
      <c r="L73" s="69"/>
      <c r="M73" s="69"/>
    </row>
    <row r="74" spans="1:15">
      <c r="A74" s="69" t="s">
        <v>108</v>
      </c>
      <c r="B74" s="68">
        <v>53.728584817244609</v>
      </c>
      <c r="C74" s="69" t="s">
        <v>267</v>
      </c>
      <c r="F74" s="68">
        <f t="shared" si="2"/>
        <v>53.728584817244609</v>
      </c>
      <c r="G74" s="69" t="s">
        <v>265</v>
      </c>
      <c r="H74" s="81">
        <f t="shared" si="3"/>
        <v>67.160731021555762</v>
      </c>
      <c r="I74" s="82"/>
      <c r="L74" s="69"/>
      <c r="M74" s="69"/>
    </row>
    <row r="75" spans="1:15">
      <c r="A75" s="69" t="s">
        <v>109</v>
      </c>
      <c r="B75" s="68">
        <v>64.900000000000006</v>
      </c>
      <c r="C75" s="69" t="s">
        <v>265</v>
      </c>
      <c r="D75" s="69" t="s">
        <v>268</v>
      </c>
      <c r="E75" s="84">
        <v>64.900000000000006</v>
      </c>
      <c r="F75" s="68">
        <f t="shared" si="2"/>
        <v>64.900000000000006</v>
      </c>
      <c r="G75" s="69" t="s">
        <v>265</v>
      </c>
      <c r="H75" s="81">
        <f t="shared" si="3"/>
        <v>81.125</v>
      </c>
      <c r="I75" s="70">
        <v>41.49</v>
      </c>
      <c r="J75" s="69" t="s">
        <v>267</v>
      </c>
      <c r="K75" s="69" t="s">
        <v>109</v>
      </c>
      <c r="M75" s="68">
        <f>IF(L75="",I75,L75)</f>
        <v>41.49</v>
      </c>
      <c r="N75" s="83" t="s">
        <v>265</v>
      </c>
      <c r="O75" s="81">
        <f>IF(N75="Yes",M75*1.25,M75)</f>
        <v>51.862500000000004</v>
      </c>
    </row>
    <row r="76" spans="1:15">
      <c r="A76" s="69" t="s">
        <v>110</v>
      </c>
      <c r="B76" s="68">
        <v>37.55779618293122</v>
      </c>
      <c r="C76" s="69" t="s">
        <v>265</v>
      </c>
      <c r="D76" s="69" t="s">
        <v>119</v>
      </c>
      <c r="E76" s="69">
        <v>37.56</v>
      </c>
      <c r="F76" s="68">
        <f t="shared" si="2"/>
        <v>37.56</v>
      </c>
      <c r="G76" s="69" t="s">
        <v>265</v>
      </c>
      <c r="H76" s="81">
        <f t="shared" si="3"/>
        <v>46.95</v>
      </c>
      <c r="I76" s="82"/>
      <c r="L76" s="69"/>
      <c r="M76" s="69"/>
    </row>
    <row r="77" spans="1:15">
      <c r="A77" s="69" t="s">
        <v>111</v>
      </c>
      <c r="B77" s="68">
        <v>55.29285867161304</v>
      </c>
      <c r="C77" s="69" t="s">
        <v>267</v>
      </c>
      <c r="E77" s="69"/>
      <c r="F77" s="68">
        <f t="shared" si="2"/>
        <v>55.29285867161304</v>
      </c>
      <c r="G77" s="69" t="s">
        <v>265</v>
      </c>
      <c r="H77" s="81">
        <f t="shared" si="3"/>
        <v>69.116073339516305</v>
      </c>
      <c r="I77" s="82"/>
      <c r="L77" s="69"/>
      <c r="M77" s="69"/>
    </row>
    <row r="78" spans="1:15">
      <c r="A78" s="69" t="s">
        <v>112</v>
      </c>
      <c r="B78" s="68">
        <v>75.924890385715187</v>
      </c>
      <c r="C78" s="69" t="s">
        <v>265</v>
      </c>
      <c r="D78" s="69" t="s">
        <v>277</v>
      </c>
      <c r="E78" s="69">
        <v>64.23</v>
      </c>
      <c r="F78" s="68">
        <f t="shared" si="2"/>
        <v>64.23</v>
      </c>
      <c r="G78" s="69" t="s">
        <v>265</v>
      </c>
      <c r="H78" s="81">
        <f t="shared" si="3"/>
        <v>80.287500000000009</v>
      </c>
      <c r="I78" s="82"/>
      <c r="L78" s="69"/>
      <c r="M78" s="69"/>
    </row>
    <row r="79" spans="1:15">
      <c r="A79" s="69" t="s">
        <v>113</v>
      </c>
      <c r="B79" s="68">
        <v>66.103008803048226</v>
      </c>
      <c r="C79" s="69" t="s">
        <v>267</v>
      </c>
      <c r="E79" s="69"/>
      <c r="F79" s="68">
        <f t="shared" si="2"/>
        <v>66.103008803048226</v>
      </c>
      <c r="G79" s="69" t="s">
        <v>265</v>
      </c>
      <c r="H79" s="81">
        <f t="shared" si="3"/>
        <v>82.628761003810283</v>
      </c>
      <c r="I79" s="82"/>
      <c r="L79" s="69"/>
      <c r="M79" s="69"/>
    </row>
    <row r="80" spans="1:15">
      <c r="A80" s="69" t="s">
        <v>114</v>
      </c>
      <c r="B80" s="68">
        <v>41.251548946716234</v>
      </c>
      <c r="C80" s="69" t="s">
        <v>267</v>
      </c>
      <c r="E80" s="69"/>
      <c r="F80" s="68">
        <f t="shared" si="2"/>
        <v>41.251548946716234</v>
      </c>
      <c r="G80" s="69" t="s">
        <v>265</v>
      </c>
      <c r="H80" s="81">
        <f t="shared" si="3"/>
        <v>51.564436183395294</v>
      </c>
      <c r="I80" s="82"/>
      <c r="L80" s="69"/>
      <c r="M80" s="69"/>
    </row>
    <row r="81" spans="1:13">
      <c r="A81" s="69" t="s">
        <v>115</v>
      </c>
      <c r="B81" s="68">
        <v>49.784257171325187</v>
      </c>
      <c r="C81" s="69" t="s">
        <v>265</v>
      </c>
      <c r="D81" s="69" t="s">
        <v>278</v>
      </c>
      <c r="E81" s="69">
        <v>81.3</v>
      </c>
      <c r="F81" s="68">
        <f t="shared" si="2"/>
        <v>81.3</v>
      </c>
      <c r="G81" s="87" t="s">
        <v>267</v>
      </c>
      <c r="H81" s="81">
        <f t="shared" si="3"/>
        <v>81.3</v>
      </c>
      <c r="I81" s="82"/>
      <c r="L81" s="69"/>
      <c r="M81" s="69"/>
    </row>
    <row r="82" spans="1:13">
      <c r="A82" s="69" t="s">
        <v>116</v>
      </c>
      <c r="B82" s="68">
        <v>39.679390138408301</v>
      </c>
      <c r="C82" s="69" t="s">
        <v>267</v>
      </c>
      <c r="E82" s="69"/>
      <c r="F82" s="68">
        <f t="shared" si="2"/>
        <v>39.679390138408301</v>
      </c>
      <c r="G82" s="69" t="s">
        <v>265</v>
      </c>
      <c r="H82" s="81">
        <f t="shared" si="3"/>
        <v>49.599237673010379</v>
      </c>
      <c r="I82" s="82"/>
      <c r="L82" s="69"/>
      <c r="M82" s="69"/>
    </row>
    <row r="83" spans="1:13">
      <c r="A83" s="69" t="s">
        <v>117</v>
      </c>
      <c r="B83" s="68">
        <v>54.562371768567914</v>
      </c>
      <c r="C83" s="69" t="s">
        <v>267</v>
      </c>
      <c r="E83" s="69"/>
      <c r="F83" s="68">
        <f t="shared" si="2"/>
        <v>54.562371768567914</v>
      </c>
      <c r="G83" s="69" t="s">
        <v>265</v>
      </c>
      <c r="H83" s="81">
        <f t="shared" si="3"/>
        <v>68.202964710709892</v>
      </c>
      <c r="I83" s="82"/>
      <c r="L83" s="69"/>
      <c r="M83" s="69"/>
    </row>
    <row r="84" spans="1:13">
      <c r="A84" s="69" t="s">
        <v>118</v>
      </c>
      <c r="B84" s="68">
        <v>54.077638495754144</v>
      </c>
      <c r="C84" s="69" t="s">
        <v>267</v>
      </c>
      <c r="E84" s="69"/>
      <c r="F84" s="68">
        <f t="shared" si="2"/>
        <v>54.077638495754144</v>
      </c>
      <c r="G84" s="69" t="s">
        <v>265</v>
      </c>
      <c r="H84" s="81">
        <f t="shared" si="3"/>
        <v>67.597048119692687</v>
      </c>
      <c r="I84" s="82"/>
      <c r="L84" s="69"/>
      <c r="M84" s="69"/>
    </row>
    <row r="85" spans="1:13">
      <c r="A85" s="69" t="s">
        <v>119</v>
      </c>
      <c r="B85" s="68">
        <v>37.55779618293122</v>
      </c>
      <c r="C85" s="69" t="s">
        <v>267</v>
      </c>
      <c r="E85" s="69"/>
      <c r="F85" s="68">
        <f t="shared" si="2"/>
        <v>37.55779618293122</v>
      </c>
      <c r="G85" s="69" t="s">
        <v>265</v>
      </c>
      <c r="H85" s="81">
        <f t="shared" si="3"/>
        <v>46.947245228664023</v>
      </c>
      <c r="I85" s="82"/>
      <c r="L85" s="69"/>
      <c r="M85" s="69"/>
    </row>
    <row r="86" spans="1:13">
      <c r="A86" s="69" t="s">
        <v>120</v>
      </c>
      <c r="B86" s="68">
        <v>83.379928846723985</v>
      </c>
      <c r="C86" s="69" t="s">
        <v>267</v>
      </c>
      <c r="F86" s="68">
        <f t="shared" si="2"/>
        <v>83.379928846723985</v>
      </c>
      <c r="G86" s="69" t="s">
        <v>265</v>
      </c>
      <c r="H86" s="81">
        <f t="shared" si="3"/>
        <v>104.22491105840498</v>
      </c>
      <c r="I86" s="82"/>
      <c r="L86" s="69"/>
      <c r="M86" s="69"/>
    </row>
    <row r="87" spans="1:13">
      <c r="A87" s="69" t="s">
        <v>121</v>
      </c>
      <c r="B87" s="68">
        <v>55.056547059928619</v>
      </c>
      <c r="C87" s="69" t="s">
        <v>267</v>
      </c>
      <c r="F87" s="68">
        <f t="shared" si="2"/>
        <v>55.056547059928619</v>
      </c>
      <c r="G87" s="69" t="s">
        <v>265</v>
      </c>
      <c r="H87" s="81">
        <f t="shared" si="3"/>
        <v>68.820683824910773</v>
      </c>
      <c r="I87" s="82"/>
      <c r="L87" s="69"/>
      <c r="M87" s="69"/>
    </row>
    <row r="88" spans="1:13">
      <c r="A88" s="69" t="s">
        <v>122</v>
      </c>
      <c r="B88" s="68">
        <v>64.888229130282923</v>
      </c>
      <c r="C88" s="69" t="s">
        <v>267</v>
      </c>
      <c r="F88" s="68">
        <f t="shared" si="2"/>
        <v>64.888229130282923</v>
      </c>
      <c r="G88" s="69" t="s">
        <v>265</v>
      </c>
      <c r="H88" s="81">
        <f t="shared" si="3"/>
        <v>81.110286412853654</v>
      </c>
      <c r="I88" s="82"/>
      <c r="L88" s="69"/>
      <c r="M88" s="69"/>
    </row>
    <row r="89" spans="1:13">
      <c r="A89" s="69" t="s">
        <v>123</v>
      </c>
      <c r="B89" s="68">
        <v>37.55779618293122</v>
      </c>
      <c r="C89" s="69" t="s">
        <v>265</v>
      </c>
      <c r="D89" s="88" t="s">
        <v>119</v>
      </c>
      <c r="E89" s="69">
        <v>37.56</v>
      </c>
      <c r="F89" s="68">
        <f t="shared" si="2"/>
        <v>37.56</v>
      </c>
      <c r="G89" s="69" t="s">
        <v>265</v>
      </c>
      <c r="H89" s="81">
        <f t="shared" si="3"/>
        <v>46.95</v>
      </c>
      <c r="I89" s="89"/>
      <c r="J89" s="90"/>
      <c r="L89" s="69"/>
      <c r="M89" s="69"/>
    </row>
    <row r="90" spans="1:13">
      <c r="A90" s="69" t="s">
        <v>124</v>
      </c>
      <c r="B90" s="68">
        <v>73.617006422786929</v>
      </c>
      <c r="C90" s="69" t="s">
        <v>265</v>
      </c>
      <c r="D90" s="69" t="s">
        <v>279</v>
      </c>
      <c r="E90" s="69">
        <v>79.88</v>
      </c>
      <c r="F90" s="68">
        <f t="shared" si="2"/>
        <v>79.88</v>
      </c>
      <c r="G90" s="87" t="s">
        <v>267</v>
      </c>
      <c r="H90" s="81">
        <f t="shared" si="3"/>
        <v>79.88</v>
      </c>
      <c r="I90" s="82"/>
      <c r="L90" s="69"/>
      <c r="M90" s="69"/>
    </row>
    <row r="91" spans="1:13">
      <c r="A91" s="69" t="s">
        <v>125</v>
      </c>
      <c r="B91" s="68">
        <v>37.55779618293122</v>
      </c>
      <c r="C91" s="69" t="s">
        <v>265</v>
      </c>
      <c r="D91" s="88" t="s">
        <v>119</v>
      </c>
      <c r="E91" s="69">
        <v>37.56</v>
      </c>
      <c r="F91" s="68">
        <f t="shared" si="2"/>
        <v>37.56</v>
      </c>
      <c r="G91" s="69" t="s">
        <v>265</v>
      </c>
      <c r="H91" s="81">
        <f t="shared" si="3"/>
        <v>46.95</v>
      </c>
      <c r="I91" s="82"/>
      <c r="L91" s="69"/>
      <c r="M91" s="69"/>
    </row>
    <row r="92" spans="1:13">
      <c r="A92" s="69" t="s">
        <v>126</v>
      </c>
      <c r="B92" s="68">
        <v>23.370453241537582</v>
      </c>
      <c r="C92" s="69" t="s">
        <v>267</v>
      </c>
      <c r="E92" s="69"/>
      <c r="F92" s="68">
        <f t="shared" si="2"/>
        <v>23.370453241537582</v>
      </c>
      <c r="G92" s="69" t="s">
        <v>265</v>
      </c>
      <c r="H92" s="81">
        <f t="shared" si="3"/>
        <v>29.213066551921976</v>
      </c>
      <c r="I92" s="82"/>
      <c r="L92" s="69"/>
      <c r="M92" s="69"/>
    </row>
    <row r="93" spans="1:13">
      <c r="A93" s="69" t="s">
        <v>127</v>
      </c>
      <c r="B93" s="68">
        <v>56.031876655315934</v>
      </c>
      <c r="C93" s="69" t="s">
        <v>267</v>
      </c>
      <c r="E93" s="69"/>
      <c r="F93" s="68">
        <f t="shared" si="2"/>
        <v>56.031876655315934</v>
      </c>
      <c r="G93" s="69" t="s">
        <v>265</v>
      </c>
      <c r="H93" s="81">
        <f t="shared" si="3"/>
        <v>70.039845819144915</v>
      </c>
      <c r="I93" s="82"/>
      <c r="L93" s="69"/>
      <c r="M93" s="69"/>
    </row>
    <row r="94" spans="1:13">
      <c r="A94" s="69" t="s">
        <v>129</v>
      </c>
      <c r="B94" s="68">
        <v>58.241022410224105</v>
      </c>
      <c r="C94" s="69" t="s">
        <v>267</v>
      </c>
      <c r="E94" s="69"/>
      <c r="F94" s="68">
        <f t="shared" si="2"/>
        <v>58.241022410224105</v>
      </c>
      <c r="G94" s="69" t="s">
        <v>265</v>
      </c>
      <c r="H94" s="81">
        <f t="shared" si="3"/>
        <v>72.801278012780131</v>
      </c>
      <c r="I94" s="82"/>
      <c r="L94" s="69"/>
      <c r="M94" s="69"/>
    </row>
    <row r="95" spans="1:13">
      <c r="A95" s="69" t="s">
        <v>244</v>
      </c>
      <c r="B95" s="68">
        <v>60.703179867342961</v>
      </c>
      <c r="C95" s="69" t="s">
        <v>265</v>
      </c>
      <c r="D95" s="69" t="s">
        <v>280</v>
      </c>
      <c r="E95" s="69">
        <v>126.48</v>
      </c>
      <c r="F95" s="68">
        <f t="shared" si="2"/>
        <v>126.48</v>
      </c>
      <c r="G95" s="87" t="s">
        <v>267</v>
      </c>
      <c r="H95" s="81">
        <f t="shared" si="3"/>
        <v>126.48</v>
      </c>
      <c r="I95" s="82"/>
      <c r="L95" s="69"/>
      <c r="M95" s="69"/>
    </row>
    <row r="96" spans="1:13">
      <c r="A96" s="69" t="s">
        <v>130</v>
      </c>
      <c r="B96" s="68">
        <v>41.151731771433838</v>
      </c>
      <c r="C96" s="69" t="s">
        <v>267</v>
      </c>
      <c r="E96" s="69"/>
      <c r="F96" s="68">
        <f t="shared" si="2"/>
        <v>41.151731771433838</v>
      </c>
      <c r="G96" s="69" t="s">
        <v>265</v>
      </c>
      <c r="H96" s="81">
        <f t="shared" si="3"/>
        <v>51.439664714292299</v>
      </c>
      <c r="I96" s="82"/>
      <c r="L96" s="69"/>
      <c r="M96" s="69"/>
    </row>
    <row r="97" spans="1:13">
      <c r="A97" s="69" t="s">
        <v>131</v>
      </c>
      <c r="B97" s="68">
        <v>66.873869053409862</v>
      </c>
      <c r="C97" s="69" t="s">
        <v>267</v>
      </c>
      <c r="E97" s="69"/>
      <c r="F97" s="68">
        <f t="shared" si="2"/>
        <v>66.873869053409862</v>
      </c>
      <c r="G97" s="69" t="s">
        <v>265</v>
      </c>
      <c r="H97" s="81">
        <f t="shared" si="3"/>
        <v>83.592336316762328</v>
      </c>
      <c r="I97" s="82"/>
      <c r="L97" s="69"/>
      <c r="M97" s="69"/>
    </row>
    <row r="98" spans="1:13">
      <c r="A98" s="69" t="s">
        <v>132</v>
      </c>
      <c r="B98" s="68">
        <v>52.541372395152145</v>
      </c>
      <c r="C98" s="69" t="s">
        <v>267</v>
      </c>
      <c r="E98" s="69"/>
      <c r="F98" s="68">
        <f t="shared" si="2"/>
        <v>52.541372395152145</v>
      </c>
      <c r="G98" s="69" t="s">
        <v>265</v>
      </c>
      <c r="H98" s="81">
        <f t="shared" si="3"/>
        <v>65.676715493940179</v>
      </c>
      <c r="I98" s="82"/>
      <c r="L98" s="69"/>
      <c r="M98" s="69"/>
    </row>
    <row r="99" spans="1:13">
      <c r="A99" s="69" t="s">
        <v>245</v>
      </c>
      <c r="B99" s="68">
        <v>53.307313421073367</v>
      </c>
      <c r="C99" s="69" t="s">
        <v>265</v>
      </c>
      <c r="D99" s="69" t="s">
        <v>161</v>
      </c>
      <c r="E99" s="69">
        <v>53.31</v>
      </c>
      <c r="F99" s="68">
        <f t="shared" si="2"/>
        <v>53.31</v>
      </c>
      <c r="G99" s="69" t="s">
        <v>265</v>
      </c>
      <c r="H99" s="81">
        <f t="shared" si="3"/>
        <v>66.637500000000003</v>
      </c>
      <c r="I99" s="82"/>
      <c r="L99" s="69"/>
      <c r="M99" s="69"/>
    </row>
    <row r="100" spans="1:13">
      <c r="A100" s="69" t="s">
        <v>134</v>
      </c>
      <c r="B100" s="68">
        <v>52.154086088583902</v>
      </c>
      <c r="C100" s="69" t="s">
        <v>267</v>
      </c>
      <c r="E100" s="69"/>
      <c r="F100" s="68">
        <f t="shared" si="2"/>
        <v>52.154086088583902</v>
      </c>
      <c r="G100" s="69" t="s">
        <v>265</v>
      </c>
      <c r="H100" s="81">
        <f t="shared" si="3"/>
        <v>65.19260761072988</v>
      </c>
      <c r="I100" s="82"/>
      <c r="L100" s="69"/>
      <c r="M100" s="69"/>
    </row>
    <row r="101" spans="1:13">
      <c r="A101" s="69" t="s">
        <v>135</v>
      </c>
      <c r="B101" s="68">
        <v>65.374491456468675</v>
      </c>
      <c r="C101" s="69" t="s">
        <v>267</v>
      </c>
      <c r="E101" s="69"/>
      <c r="F101" s="68">
        <f t="shared" si="2"/>
        <v>65.374491456468675</v>
      </c>
      <c r="G101" s="69" t="s">
        <v>265</v>
      </c>
      <c r="H101" s="81">
        <f t="shared" si="3"/>
        <v>81.71811432058584</v>
      </c>
      <c r="I101" s="82"/>
      <c r="L101" s="69"/>
      <c r="M101" s="69"/>
    </row>
    <row r="102" spans="1:13">
      <c r="A102" s="69" t="s">
        <v>136</v>
      </c>
      <c r="B102" s="68">
        <v>58.923036428721836</v>
      </c>
      <c r="C102" s="69" t="s">
        <v>265</v>
      </c>
      <c r="D102" s="69" t="s">
        <v>281</v>
      </c>
      <c r="E102" s="69">
        <v>55.04</v>
      </c>
      <c r="F102" s="68">
        <f t="shared" si="2"/>
        <v>55.04</v>
      </c>
      <c r="G102" s="69" t="s">
        <v>265</v>
      </c>
      <c r="H102" s="81">
        <f t="shared" si="3"/>
        <v>68.8</v>
      </c>
      <c r="I102" s="82"/>
      <c r="L102" s="69"/>
      <c r="M102" s="69"/>
    </row>
    <row r="103" spans="1:13">
      <c r="A103" s="69" t="s">
        <v>137</v>
      </c>
      <c r="B103" s="68">
        <v>74.242826513388991</v>
      </c>
      <c r="C103" s="69" t="s">
        <v>267</v>
      </c>
      <c r="E103" s="69"/>
      <c r="F103" s="68">
        <f t="shared" si="2"/>
        <v>74.242826513388991</v>
      </c>
      <c r="G103" s="69" t="s">
        <v>265</v>
      </c>
      <c r="H103" s="81">
        <f t="shared" si="3"/>
        <v>92.803533141736239</v>
      </c>
      <c r="I103" s="82"/>
      <c r="L103" s="69"/>
      <c r="M103" s="69"/>
    </row>
    <row r="104" spans="1:13">
      <c r="A104" s="69" t="s">
        <v>138</v>
      </c>
      <c r="B104" s="68">
        <v>48.723972237052855</v>
      </c>
      <c r="C104" s="69" t="s">
        <v>267</v>
      </c>
      <c r="E104" s="69"/>
      <c r="F104" s="68">
        <f t="shared" si="2"/>
        <v>48.723972237052855</v>
      </c>
      <c r="G104" s="69" t="s">
        <v>265</v>
      </c>
      <c r="H104" s="81">
        <f t="shared" si="3"/>
        <v>60.904965296316071</v>
      </c>
      <c r="I104" s="82"/>
      <c r="L104" s="69"/>
      <c r="M104" s="69"/>
    </row>
    <row r="105" spans="1:13">
      <c r="A105" s="69" t="s">
        <v>139</v>
      </c>
      <c r="B105" s="68">
        <v>55.360401231998665</v>
      </c>
      <c r="C105" s="69" t="s">
        <v>265</v>
      </c>
      <c r="D105" s="69" t="s">
        <v>282</v>
      </c>
      <c r="E105" s="69">
        <v>57.1</v>
      </c>
      <c r="F105" s="68">
        <f t="shared" si="2"/>
        <v>57.1</v>
      </c>
      <c r="G105" s="69" t="s">
        <v>265</v>
      </c>
      <c r="H105" s="81">
        <f t="shared" si="3"/>
        <v>71.375</v>
      </c>
      <c r="I105" s="82"/>
      <c r="L105" s="69"/>
      <c r="M105" s="69"/>
    </row>
    <row r="106" spans="1:13">
      <c r="A106" s="69" t="s">
        <v>140</v>
      </c>
      <c r="B106" s="68">
        <v>45.677541186429643</v>
      </c>
      <c r="C106" s="69" t="s">
        <v>267</v>
      </c>
      <c r="E106" s="69"/>
      <c r="F106" s="68">
        <f t="shared" si="2"/>
        <v>45.677541186429643</v>
      </c>
      <c r="G106" s="69" t="s">
        <v>267</v>
      </c>
      <c r="H106" s="81">
        <f t="shared" si="3"/>
        <v>45.677541186429643</v>
      </c>
      <c r="I106" s="82"/>
      <c r="L106" s="69"/>
      <c r="M106" s="69"/>
    </row>
    <row r="107" spans="1:13">
      <c r="A107" s="69" t="s">
        <v>246</v>
      </c>
      <c r="B107" s="68">
        <v>63.463013698630142</v>
      </c>
      <c r="C107" s="69" t="s">
        <v>267</v>
      </c>
      <c r="E107" s="69"/>
      <c r="F107" s="68">
        <f t="shared" si="2"/>
        <v>63.463013698630142</v>
      </c>
      <c r="G107" s="69" t="s">
        <v>267</v>
      </c>
      <c r="H107" s="81">
        <f t="shared" si="3"/>
        <v>63.463013698630142</v>
      </c>
      <c r="I107" s="82"/>
      <c r="L107" s="69"/>
      <c r="M107" s="69"/>
    </row>
    <row r="108" spans="1:13">
      <c r="A108" s="69" t="s">
        <v>142</v>
      </c>
      <c r="B108" s="68">
        <v>72.948213857588115</v>
      </c>
      <c r="C108" s="69" t="s">
        <v>267</v>
      </c>
      <c r="E108" s="69"/>
      <c r="F108" s="68">
        <f t="shared" si="2"/>
        <v>72.948213857588115</v>
      </c>
      <c r="G108" s="69" t="s">
        <v>265</v>
      </c>
      <c r="H108" s="81">
        <f t="shared" si="3"/>
        <v>91.185267321985151</v>
      </c>
      <c r="I108" s="82"/>
      <c r="L108" s="69"/>
      <c r="M108" s="69"/>
    </row>
    <row r="109" spans="1:13">
      <c r="A109" s="69" t="s">
        <v>143</v>
      </c>
      <c r="B109" s="68">
        <v>63.463013698630142</v>
      </c>
      <c r="C109" s="69" t="s">
        <v>267</v>
      </c>
      <c r="E109" s="69"/>
      <c r="F109" s="68">
        <f t="shared" si="2"/>
        <v>63.463013698630142</v>
      </c>
      <c r="G109" s="69" t="s">
        <v>267</v>
      </c>
      <c r="H109" s="81">
        <f t="shared" si="3"/>
        <v>63.463013698630142</v>
      </c>
      <c r="I109" s="82"/>
      <c r="L109" s="69"/>
      <c r="M109" s="69"/>
    </row>
    <row r="110" spans="1:13">
      <c r="A110" s="69" t="s">
        <v>247</v>
      </c>
      <c r="B110" s="68">
        <v>63.463013698630142</v>
      </c>
      <c r="C110" s="69" t="s">
        <v>267</v>
      </c>
      <c r="E110" s="69"/>
      <c r="F110" s="68">
        <f t="shared" si="2"/>
        <v>63.463013698630142</v>
      </c>
      <c r="G110" s="69" t="s">
        <v>267</v>
      </c>
      <c r="H110" s="81">
        <f t="shared" si="3"/>
        <v>63.463013698630142</v>
      </c>
      <c r="I110" s="82"/>
      <c r="L110" s="69"/>
      <c r="M110" s="69"/>
    </row>
    <row r="111" spans="1:13">
      <c r="A111" s="69" t="s">
        <v>144</v>
      </c>
      <c r="B111" s="68">
        <v>40.035332668471291</v>
      </c>
      <c r="C111" s="69" t="s">
        <v>267</v>
      </c>
      <c r="E111" s="69"/>
      <c r="F111" s="68">
        <f t="shared" si="2"/>
        <v>40.035332668471291</v>
      </c>
      <c r="G111" s="69" t="s">
        <v>267</v>
      </c>
      <c r="H111" s="81">
        <f t="shared" si="3"/>
        <v>40.035332668471291</v>
      </c>
      <c r="I111" s="82"/>
      <c r="L111" s="69"/>
      <c r="M111" s="69"/>
    </row>
    <row r="112" spans="1:13">
      <c r="A112" s="69" t="s">
        <v>145</v>
      </c>
      <c r="B112" s="68">
        <v>39.435405141555485</v>
      </c>
      <c r="C112" s="69" t="s">
        <v>267</v>
      </c>
      <c r="E112" s="69"/>
      <c r="F112" s="68">
        <f t="shared" si="2"/>
        <v>39.435405141555485</v>
      </c>
      <c r="G112" s="69" t="s">
        <v>267</v>
      </c>
      <c r="H112" s="81">
        <f t="shared" si="3"/>
        <v>39.435405141555485</v>
      </c>
      <c r="I112" s="82"/>
      <c r="L112" s="69"/>
      <c r="M112" s="69"/>
    </row>
    <row r="113" spans="1:13">
      <c r="A113" s="69" t="s">
        <v>146</v>
      </c>
      <c r="B113" s="68">
        <v>38.893576766625678</v>
      </c>
      <c r="C113" s="69" t="s">
        <v>267</v>
      </c>
      <c r="E113" s="69"/>
      <c r="F113" s="68">
        <f t="shared" si="2"/>
        <v>38.893576766625678</v>
      </c>
      <c r="G113" s="69" t="s">
        <v>267</v>
      </c>
      <c r="H113" s="81">
        <f t="shared" si="3"/>
        <v>38.893576766625678</v>
      </c>
      <c r="I113" s="82"/>
      <c r="L113" s="69"/>
      <c r="M113" s="69"/>
    </row>
    <row r="114" spans="1:13">
      <c r="A114" s="69" t="s">
        <v>147</v>
      </c>
      <c r="B114" s="68">
        <v>45.543016677687163</v>
      </c>
      <c r="C114" s="69" t="s">
        <v>267</v>
      </c>
      <c r="E114" s="69"/>
      <c r="F114" s="68">
        <f t="shared" si="2"/>
        <v>45.543016677687163</v>
      </c>
      <c r="G114" s="69" t="s">
        <v>267</v>
      </c>
      <c r="H114" s="81">
        <f t="shared" si="3"/>
        <v>45.543016677687163</v>
      </c>
      <c r="I114" s="82"/>
      <c r="L114" s="69"/>
      <c r="M114" s="69"/>
    </row>
    <row r="115" spans="1:13">
      <c r="A115" s="69" t="s">
        <v>148</v>
      </c>
      <c r="B115" s="68">
        <v>47.727690040008426</v>
      </c>
      <c r="C115" s="69" t="s">
        <v>267</v>
      </c>
      <c r="E115" s="69"/>
      <c r="F115" s="68">
        <f t="shared" si="2"/>
        <v>47.727690040008426</v>
      </c>
      <c r="G115" s="69" t="s">
        <v>267</v>
      </c>
      <c r="H115" s="81">
        <f t="shared" si="3"/>
        <v>47.727690040008426</v>
      </c>
      <c r="I115" s="82"/>
      <c r="L115" s="69"/>
      <c r="M115" s="69"/>
    </row>
    <row r="116" spans="1:13">
      <c r="A116" s="69" t="s">
        <v>149</v>
      </c>
      <c r="B116" s="68">
        <v>56.447132457386367</v>
      </c>
      <c r="C116" s="69" t="s">
        <v>267</v>
      </c>
      <c r="D116" s="91"/>
      <c r="E116" s="91"/>
      <c r="F116" s="92">
        <f t="shared" si="2"/>
        <v>56.447132457386367</v>
      </c>
      <c r="G116" s="91" t="s">
        <v>267</v>
      </c>
      <c r="H116" s="81">
        <f t="shared" si="3"/>
        <v>56.447132457386367</v>
      </c>
      <c r="I116" s="82"/>
      <c r="L116" s="69"/>
      <c r="M116" s="69"/>
    </row>
    <row r="117" spans="1:13">
      <c r="A117" s="69" t="s">
        <v>150</v>
      </c>
      <c r="B117" s="68">
        <v>33.775569572856362</v>
      </c>
      <c r="C117" s="69" t="s">
        <v>267</v>
      </c>
      <c r="D117" s="91"/>
      <c r="E117" s="92"/>
      <c r="F117" s="92">
        <f t="shared" si="2"/>
        <v>33.775569572856362</v>
      </c>
      <c r="G117" s="91" t="s">
        <v>267</v>
      </c>
      <c r="H117" s="81">
        <f t="shared" si="3"/>
        <v>33.775569572856362</v>
      </c>
      <c r="I117" s="82"/>
      <c r="L117" s="69"/>
      <c r="M117" s="69"/>
    </row>
    <row r="118" spans="1:13">
      <c r="A118" s="69" t="s">
        <v>151</v>
      </c>
      <c r="B118" s="68">
        <v>60.614248844607161</v>
      </c>
      <c r="C118" s="69" t="s">
        <v>267</v>
      </c>
      <c r="F118" s="68">
        <f t="shared" si="2"/>
        <v>60.614248844607161</v>
      </c>
      <c r="G118" s="69" t="s">
        <v>267</v>
      </c>
      <c r="H118" s="81">
        <f t="shared" si="3"/>
        <v>60.614248844607161</v>
      </c>
      <c r="I118" s="82"/>
      <c r="L118" s="69"/>
      <c r="M118" s="69"/>
    </row>
    <row r="119" spans="1:13">
      <c r="A119" s="69" t="s">
        <v>152</v>
      </c>
      <c r="B119" s="68">
        <v>46.786173505833794</v>
      </c>
      <c r="C119" s="69" t="s">
        <v>267</v>
      </c>
      <c r="F119" s="68">
        <f t="shared" si="2"/>
        <v>46.786173505833794</v>
      </c>
      <c r="G119" s="69" t="s">
        <v>267</v>
      </c>
      <c r="H119" s="81">
        <f t="shared" si="3"/>
        <v>46.786173505833794</v>
      </c>
      <c r="I119" s="82"/>
      <c r="L119" s="69"/>
      <c r="M119" s="69"/>
    </row>
    <row r="120" spans="1:13">
      <c r="A120" s="69" t="s">
        <v>153</v>
      </c>
      <c r="B120" s="68">
        <v>51.945465323058684</v>
      </c>
      <c r="C120" s="69" t="s">
        <v>267</v>
      </c>
      <c r="F120" s="68">
        <f t="shared" si="2"/>
        <v>51.945465323058684</v>
      </c>
      <c r="G120" s="69" t="s">
        <v>267</v>
      </c>
      <c r="H120" s="81">
        <f t="shared" si="3"/>
        <v>51.945465323058684</v>
      </c>
      <c r="I120" s="82"/>
      <c r="L120" s="69"/>
      <c r="M120" s="69"/>
    </row>
    <row r="121" spans="1:13">
      <c r="A121" s="69" t="s">
        <v>248</v>
      </c>
      <c r="B121" s="68">
        <v>0</v>
      </c>
      <c r="C121" s="69" t="s">
        <v>265</v>
      </c>
      <c r="D121" s="85" t="s">
        <v>283</v>
      </c>
      <c r="E121" s="86">
        <v>48.670002793036033</v>
      </c>
      <c r="F121" s="86">
        <f t="shared" si="2"/>
        <v>48.670002793036033</v>
      </c>
      <c r="G121" s="85" t="s">
        <v>267</v>
      </c>
      <c r="H121" s="81">
        <f t="shared" si="3"/>
        <v>48.670002793036033</v>
      </c>
      <c r="I121" s="82"/>
      <c r="L121" s="69"/>
      <c r="M121" s="69"/>
    </row>
    <row r="122" spans="1:13">
      <c r="A122" s="69" t="s">
        <v>154</v>
      </c>
      <c r="B122" s="68">
        <v>56.95027771843624</v>
      </c>
      <c r="C122" s="69" t="s">
        <v>267</v>
      </c>
      <c r="E122" s="69"/>
      <c r="F122" s="68">
        <f t="shared" si="2"/>
        <v>56.95027771843624</v>
      </c>
      <c r="G122" s="69" t="s">
        <v>267</v>
      </c>
      <c r="H122" s="81">
        <f t="shared" si="3"/>
        <v>56.95027771843624</v>
      </c>
      <c r="I122" s="82"/>
      <c r="L122" s="69"/>
      <c r="M122" s="69"/>
    </row>
    <row r="123" spans="1:13">
      <c r="A123" s="69" t="s">
        <v>155</v>
      </c>
      <c r="B123" s="68">
        <v>52.441131237183868</v>
      </c>
      <c r="C123" s="69" t="s">
        <v>265</v>
      </c>
      <c r="D123" s="69" t="s">
        <v>155</v>
      </c>
      <c r="E123" s="69">
        <v>52.44</v>
      </c>
      <c r="F123" s="68">
        <f t="shared" si="2"/>
        <v>52.44</v>
      </c>
      <c r="G123" s="69" t="s">
        <v>267</v>
      </c>
      <c r="H123" s="81">
        <f t="shared" si="3"/>
        <v>52.44</v>
      </c>
      <c r="I123" s="82"/>
      <c r="L123" s="69"/>
      <c r="M123" s="69"/>
    </row>
    <row r="124" spans="1:13">
      <c r="A124" s="69" t="s">
        <v>156</v>
      </c>
      <c r="B124" s="68">
        <v>46.536889897843359</v>
      </c>
      <c r="C124" s="69" t="s">
        <v>267</v>
      </c>
      <c r="E124" s="69"/>
      <c r="F124" s="68">
        <f t="shared" si="2"/>
        <v>46.536889897843359</v>
      </c>
      <c r="G124" s="69" t="s">
        <v>267</v>
      </c>
      <c r="H124" s="81">
        <f t="shared" si="3"/>
        <v>46.536889897843359</v>
      </c>
      <c r="I124" s="82"/>
      <c r="L124" s="69"/>
      <c r="M124" s="69"/>
    </row>
    <row r="125" spans="1:13">
      <c r="A125" s="69" t="s">
        <v>157</v>
      </c>
      <c r="B125" s="68">
        <v>48.670002793036033</v>
      </c>
      <c r="C125" s="69" t="s">
        <v>267</v>
      </c>
      <c r="E125" s="69"/>
      <c r="F125" s="68">
        <f t="shared" si="2"/>
        <v>48.670002793036033</v>
      </c>
      <c r="G125" s="69" t="s">
        <v>267</v>
      </c>
      <c r="H125" s="81">
        <f t="shared" si="3"/>
        <v>48.670002793036033</v>
      </c>
      <c r="I125" s="82"/>
      <c r="L125" s="69"/>
      <c r="M125" s="69"/>
    </row>
    <row r="126" spans="1:13">
      <c r="A126" s="69" t="s">
        <v>158</v>
      </c>
      <c r="B126" s="68">
        <v>60.703179867342961</v>
      </c>
      <c r="C126" s="69" t="s">
        <v>267</v>
      </c>
      <c r="E126" s="69"/>
      <c r="F126" s="68">
        <f t="shared" si="2"/>
        <v>60.703179867342961</v>
      </c>
      <c r="G126" s="69" t="s">
        <v>267</v>
      </c>
      <c r="H126" s="81">
        <f t="shared" si="3"/>
        <v>60.703179867342961</v>
      </c>
      <c r="I126" s="82"/>
      <c r="L126" s="69"/>
      <c r="M126" s="69"/>
    </row>
    <row r="127" spans="1:13">
      <c r="A127" s="69" t="s">
        <v>159</v>
      </c>
      <c r="B127" s="68">
        <v>50.065328206045429</v>
      </c>
      <c r="C127" s="69" t="s">
        <v>267</v>
      </c>
      <c r="E127" s="69"/>
      <c r="F127" s="68">
        <f t="shared" si="2"/>
        <v>50.065328206045429</v>
      </c>
      <c r="G127" s="69" t="s">
        <v>267</v>
      </c>
      <c r="H127" s="81">
        <f t="shared" si="3"/>
        <v>50.065328206045429</v>
      </c>
      <c r="I127" s="82"/>
      <c r="L127" s="69"/>
      <c r="M127" s="69"/>
    </row>
    <row r="128" spans="1:13">
      <c r="A128" s="69" t="s">
        <v>160</v>
      </c>
      <c r="B128" s="68">
        <v>48.670002793036033</v>
      </c>
      <c r="C128" s="69" t="s">
        <v>265</v>
      </c>
      <c r="D128" s="69" t="s">
        <v>157</v>
      </c>
      <c r="E128" s="69">
        <v>48.67</v>
      </c>
      <c r="F128" s="68">
        <f t="shared" si="2"/>
        <v>48.67</v>
      </c>
      <c r="G128" s="69" t="s">
        <v>267</v>
      </c>
      <c r="H128" s="81">
        <f t="shared" si="3"/>
        <v>48.67</v>
      </c>
      <c r="I128" s="82"/>
      <c r="L128" s="69"/>
      <c r="M128" s="69"/>
    </row>
    <row r="129" spans="1:13">
      <c r="A129" s="69" t="s">
        <v>161</v>
      </c>
      <c r="B129" s="68">
        <v>53.307313421073367</v>
      </c>
      <c r="C129" s="69" t="s">
        <v>267</v>
      </c>
      <c r="E129" s="69"/>
      <c r="F129" s="68">
        <f t="shared" si="2"/>
        <v>53.307313421073367</v>
      </c>
      <c r="G129" s="69" t="s">
        <v>267</v>
      </c>
      <c r="H129" s="81">
        <f t="shared" si="3"/>
        <v>53.307313421073367</v>
      </c>
      <c r="I129" s="82"/>
      <c r="L129" s="69"/>
      <c r="M129" s="69"/>
    </row>
    <row r="130" spans="1:13">
      <c r="A130" s="69" t="s">
        <v>162</v>
      </c>
      <c r="B130" s="68">
        <v>53.307313421073367</v>
      </c>
      <c r="C130" s="69" t="s">
        <v>265</v>
      </c>
      <c r="D130" s="69" t="s">
        <v>161</v>
      </c>
      <c r="E130" s="69">
        <v>53.31</v>
      </c>
      <c r="F130" s="68">
        <f t="shared" si="2"/>
        <v>53.31</v>
      </c>
      <c r="G130" s="69" t="s">
        <v>267</v>
      </c>
      <c r="H130" s="81">
        <f t="shared" si="3"/>
        <v>53.31</v>
      </c>
      <c r="I130" s="82"/>
      <c r="L130" s="69"/>
      <c r="M130" s="69"/>
    </row>
    <row r="131" spans="1:13">
      <c r="A131" s="69" t="s">
        <v>163</v>
      </c>
      <c r="B131" s="68">
        <v>51.095112560269179</v>
      </c>
      <c r="C131" s="69" t="s">
        <v>267</v>
      </c>
      <c r="E131" s="69"/>
      <c r="F131" s="68">
        <f t="shared" si="2"/>
        <v>51.095112560269179</v>
      </c>
      <c r="G131" s="69" t="s">
        <v>267</v>
      </c>
      <c r="H131" s="81">
        <f t="shared" si="3"/>
        <v>51.095112560269179</v>
      </c>
      <c r="I131" s="82"/>
      <c r="L131" s="69"/>
      <c r="M131" s="69"/>
    </row>
    <row r="132" spans="1:13">
      <c r="A132" s="69" t="s">
        <v>164</v>
      </c>
      <c r="B132" s="68">
        <v>67.922640961054057</v>
      </c>
      <c r="C132" s="69" t="s">
        <v>267</v>
      </c>
      <c r="E132" s="69"/>
      <c r="F132" s="68">
        <f t="shared" si="2"/>
        <v>67.922640961054057</v>
      </c>
      <c r="G132" s="69" t="s">
        <v>267</v>
      </c>
      <c r="H132" s="81">
        <f t="shared" si="3"/>
        <v>67.922640961054057</v>
      </c>
      <c r="I132" s="82"/>
      <c r="L132" s="69"/>
      <c r="M132" s="69"/>
    </row>
    <row r="133" spans="1:13">
      <c r="A133" s="69" t="s">
        <v>165</v>
      </c>
      <c r="B133" s="68">
        <v>48.670002793036033</v>
      </c>
      <c r="C133" s="69" t="s">
        <v>265</v>
      </c>
      <c r="D133" s="69" t="s">
        <v>164</v>
      </c>
      <c r="E133" s="69">
        <v>67.92</v>
      </c>
      <c r="F133" s="68">
        <f t="shared" ref="F133:F137" si="4">IF(E133="",B133,E133)</f>
        <v>67.92</v>
      </c>
      <c r="G133" s="69" t="s">
        <v>267</v>
      </c>
      <c r="H133" s="81">
        <f t="shared" ref="H133:H137" si="5">IF(G133="Yes",F133*1.25,F133)</f>
        <v>67.92</v>
      </c>
    </row>
    <row r="134" spans="1:13">
      <c r="A134" s="69" t="s">
        <v>166</v>
      </c>
      <c r="B134" s="68">
        <v>45.02076712733723</v>
      </c>
      <c r="C134" s="69" t="s">
        <v>267</v>
      </c>
      <c r="E134" s="69"/>
      <c r="F134" s="68">
        <f t="shared" si="4"/>
        <v>45.02076712733723</v>
      </c>
      <c r="G134" s="69" t="s">
        <v>267</v>
      </c>
      <c r="H134" s="81">
        <f t="shared" si="5"/>
        <v>45.02076712733723</v>
      </c>
    </row>
    <row r="135" spans="1:13">
      <c r="A135" s="69" t="s">
        <v>167</v>
      </c>
      <c r="B135" s="68">
        <v>48.670002793036033</v>
      </c>
      <c r="C135" s="69" t="s">
        <v>265</v>
      </c>
      <c r="D135" s="69" t="s">
        <v>166</v>
      </c>
      <c r="E135" s="68">
        <v>45.02</v>
      </c>
      <c r="F135" s="68">
        <f t="shared" si="4"/>
        <v>45.02</v>
      </c>
      <c r="G135" s="69" t="s">
        <v>267</v>
      </c>
      <c r="H135" s="81">
        <f t="shared" si="5"/>
        <v>45.02</v>
      </c>
    </row>
    <row r="136" spans="1:13">
      <c r="A136" s="69" t="s">
        <v>168</v>
      </c>
      <c r="B136" s="68">
        <v>46.951634723788047</v>
      </c>
      <c r="C136" s="69" t="s">
        <v>267</v>
      </c>
      <c r="F136" s="68">
        <f t="shared" si="4"/>
        <v>46.951634723788047</v>
      </c>
      <c r="G136" s="69" t="s">
        <v>267</v>
      </c>
      <c r="H136" s="81">
        <f t="shared" si="5"/>
        <v>46.951634723788047</v>
      </c>
    </row>
    <row r="137" spans="1:13">
      <c r="A137" s="69" t="s">
        <v>169</v>
      </c>
      <c r="B137" s="68">
        <v>44.359220005280434</v>
      </c>
      <c r="C137" s="69" t="s">
        <v>267</v>
      </c>
      <c r="F137" s="68">
        <f t="shared" si="4"/>
        <v>44.359220005280434</v>
      </c>
      <c r="G137" s="69" t="s">
        <v>267</v>
      </c>
      <c r="H137" s="81">
        <f t="shared" si="5"/>
        <v>44.359220005280434</v>
      </c>
    </row>
  </sheetData>
  <autoFilter ref="A4:O4">
    <sortState ref="A5:O137">
      <sortCondition ref="A4"/>
    </sortState>
  </autoFilter>
  <mergeCells count="2">
    <mergeCell ref="B3:G3"/>
    <mergeCell ref="I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topLeftCell="B1" workbookViewId="0">
      <selection activeCell="M12" sqref="M12:M13"/>
    </sheetView>
  </sheetViews>
  <sheetFormatPr defaultRowHeight="12.75"/>
  <cols>
    <col min="1" max="1" width="19.5703125" bestFit="1" customWidth="1"/>
    <col min="8" max="8" width="49.140625" bestFit="1" customWidth="1"/>
    <col min="13" max="13" width="13.140625" bestFit="1" customWidth="1"/>
    <col min="14" max="14" width="14.140625" bestFit="1" customWidth="1"/>
    <col min="17" max="17" width="15.5703125" customWidth="1"/>
    <col min="21" max="21" width="10.42578125" bestFit="1" customWidth="1"/>
  </cols>
  <sheetData>
    <row r="1" spans="1:51" ht="13.5" thickBot="1">
      <c r="A1" s="1" t="s">
        <v>6</v>
      </c>
      <c r="M1" s="228" t="s">
        <v>383</v>
      </c>
      <c r="N1" s="229"/>
      <c r="O1" s="229"/>
      <c r="P1" s="229"/>
      <c r="Q1" s="230"/>
      <c r="R1" s="230"/>
      <c r="S1" s="230"/>
      <c r="T1" s="229"/>
      <c r="U1" s="229"/>
      <c r="V1" s="229"/>
      <c r="W1" s="229"/>
      <c r="X1" s="229"/>
      <c r="Y1" s="229"/>
      <c r="Z1" s="229"/>
      <c r="AA1" s="231"/>
    </row>
    <row r="2" spans="1:51" ht="13.5" thickBot="1">
      <c r="A2" s="2" t="s">
        <v>7</v>
      </c>
      <c r="M2" s="234" t="s">
        <v>182</v>
      </c>
      <c r="N2" s="235"/>
      <c r="O2" s="236"/>
      <c r="Q2" s="227" t="s">
        <v>238</v>
      </c>
      <c r="R2" s="223"/>
      <c r="S2" s="224"/>
      <c r="U2" s="234" t="s">
        <v>183</v>
      </c>
      <c r="V2" s="235"/>
      <c r="W2" s="236"/>
      <c r="Y2" s="234" t="s">
        <v>185</v>
      </c>
      <c r="Z2" s="235"/>
      <c r="AA2" s="236"/>
      <c r="AC2" s="227" t="s">
        <v>285</v>
      </c>
      <c r="AD2" s="223"/>
      <c r="AE2" s="224"/>
      <c r="AG2" s="227" t="s">
        <v>286</v>
      </c>
      <c r="AH2" s="223"/>
      <c r="AI2" s="224"/>
      <c r="AK2" s="227" t="s">
        <v>254</v>
      </c>
      <c r="AL2" s="223"/>
      <c r="AM2" s="224"/>
      <c r="AO2" s="222" t="s">
        <v>253</v>
      </c>
      <c r="AP2" s="223"/>
      <c r="AQ2" s="224"/>
      <c r="AS2" s="222" t="s">
        <v>288</v>
      </c>
      <c r="AT2" s="223"/>
      <c r="AU2" s="224"/>
      <c r="AW2" s="222" t="s">
        <v>289</v>
      </c>
      <c r="AX2" s="223"/>
      <c r="AY2" s="224"/>
    </row>
    <row r="3" spans="1:51" ht="15">
      <c r="A3" s="2" t="s">
        <v>2</v>
      </c>
      <c r="G3" s="6" t="s">
        <v>176</v>
      </c>
      <c r="H3" s="31" t="s">
        <v>175</v>
      </c>
      <c r="K3" t="s">
        <v>179</v>
      </c>
      <c r="M3" s="38">
        <v>35849</v>
      </c>
      <c r="N3" s="237" t="s">
        <v>194</v>
      </c>
      <c r="O3" s="238"/>
      <c r="Q3" s="93">
        <f>Proforma!I7</f>
        <v>0</v>
      </c>
      <c r="R3" s="225" t="s">
        <v>194</v>
      </c>
      <c r="S3" s="226"/>
      <c r="U3" s="38">
        <f>Proforma!F10</f>
        <v>0</v>
      </c>
      <c r="V3" s="237" t="s">
        <v>194</v>
      </c>
      <c r="W3" s="238"/>
      <c r="Y3" s="38" t="e">
        <f>Proforma!#REF!</f>
        <v>#REF!</v>
      </c>
      <c r="Z3" s="237" t="s">
        <v>194</v>
      </c>
      <c r="AA3" s="238"/>
      <c r="AC3" s="93" t="e">
        <f>Proforma!#REF!+Proforma!#REF!+Proforma!#REF!</f>
        <v>#REF!</v>
      </c>
      <c r="AD3" s="225" t="s">
        <v>194</v>
      </c>
      <c r="AE3" s="226"/>
      <c r="AG3" s="93" t="e">
        <f>Proforma!#REF!</f>
        <v>#REF!</v>
      </c>
      <c r="AH3" s="225" t="s">
        <v>194</v>
      </c>
      <c r="AI3" s="226"/>
      <c r="AK3" s="93" t="e">
        <f>Proforma!#REF!</f>
        <v>#REF!</v>
      </c>
      <c r="AL3" s="225" t="s">
        <v>194</v>
      </c>
      <c r="AM3" s="226"/>
      <c r="AO3" s="93">
        <f>Proforma!C9</f>
        <v>0</v>
      </c>
      <c r="AP3" s="225" t="s">
        <v>194</v>
      </c>
      <c r="AQ3" s="226"/>
      <c r="AS3" s="93" t="e">
        <f>Proforma!#REF!</f>
        <v>#REF!</v>
      </c>
      <c r="AT3" s="225" t="s">
        <v>194</v>
      </c>
      <c r="AU3" s="226"/>
      <c r="AW3" s="93" t="e">
        <f>Proforma!#REF!</f>
        <v>#REF!</v>
      </c>
      <c r="AX3" s="225" t="s">
        <v>194</v>
      </c>
      <c r="AY3" s="226"/>
    </row>
    <row r="4" spans="1:51" ht="15">
      <c r="A4" s="2" t="s">
        <v>3</v>
      </c>
      <c r="G4" s="102">
        <v>4055</v>
      </c>
      <c r="H4" s="101" t="s">
        <v>340</v>
      </c>
      <c r="K4" t="s">
        <v>180</v>
      </c>
      <c r="M4" s="34">
        <v>44378</v>
      </c>
      <c r="N4" s="239" t="s">
        <v>200</v>
      </c>
      <c r="O4" s="226"/>
      <c r="Q4" s="34">
        <v>44378</v>
      </c>
      <c r="R4" s="225" t="s">
        <v>200</v>
      </c>
      <c r="S4" s="226"/>
      <c r="U4" s="34">
        <v>44378</v>
      </c>
      <c r="V4" s="239" t="s">
        <v>200</v>
      </c>
      <c r="W4" s="226"/>
      <c r="Y4" s="34">
        <v>44378</v>
      </c>
      <c r="Z4" s="239" t="s">
        <v>200</v>
      </c>
      <c r="AA4" s="226"/>
      <c r="AC4" s="34">
        <v>44378</v>
      </c>
      <c r="AD4" s="225" t="s">
        <v>200</v>
      </c>
      <c r="AE4" s="226"/>
      <c r="AG4" s="34">
        <v>44378</v>
      </c>
      <c r="AH4" s="225" t="s">
        <v>200</v>
      </c>
      <c r="AI4" s="226"/>
      <c r="AK4" s="34">
        <v>44378</v>
      </c>
      <c r="AL4" s="225" t="s">
        <v>200</v>
      </c>
      <c r="AM4" s="226"/>
      <c r="AO4" s="34">
        <v>44378</v>
      </c>
      <c r="AP4" s="225" t="s">
        <v>200</v>
      </c>
      <c r="AQ4" s="226"/>
      <c r="AS4" s="34">
        <v>44378</v>
      </c>
      <c r="AT4" s="225" t="s">
        <v>200</v>
      </c>
      <c r="AU4" s="226"/>
      <c r="AW4" s="34">
        <v>44378</v>
      </c>
      <c r="AX4" s="225" t="s">
        <v>200</v>
      </c>
      <c r="AY4" s="226"/>
    </row>
    <row r="5" spans="1:51" ht="15">
      <c r="A5" s="2" t="s">
        <v>14</v>
      </c>
      <c r="B5" s="1" t="s">
        <v>16</v>
      </c>
      <c r="G5" s="102">
        <v>4101</v>
      </c>
      <c r="H5" s="101" t="s">
        <v>341</v>
      </c>
      <c r="K5" t="s">
        <v>181</v>
      </c>
      <c r="M5" s="34">
        <v>44742</v>
      </c>
      <c r="N5" s="239" t="s">
        <v>195</v>
      </c>
      <c r="O5" s="226"/>
      <c r="Q5" s="34">
        <v>44742</v>
      </c>
      <c r="R5" s="225" t="s">
        <v>195</v>
      </c>
      <c r="S5" s="226"/>
      <c r="U5" s="34">
        <v>44742</v>
      </c>
      <c r="V5" s="239" t="s">
        <v>195</v>
      </c>
      <c r="W5" s="226"/>
      <c r="Y5" s="34">
        <v>44742</v>
      </c>
      <c r="Z5" s="239" t="s">
        <v>195</v>
      </c>
      <c r="AA5" s="226"/>
      <c r="AC5" s="34">
        <v>44742</v>
      </c>
      <c r="AD5" s="225" t="s">
        <v>195</v>
      </c>
      <c r="AE5" s="226"/>
      <c r="AG5" s="34">
        <v>44742</v>
      </c>
      <c r="AH5" s="225" t="s">
        <v>195</v>
      </c>
      <c r="AI5" s="226"/>
      <c r="AK5" s="34">
        <v>44742</v>
      </c>
      <c r="AL5" s="225" t="s">
        <v>195</v>
      </c>
      <c r="AM5" s="226"/>
      <c r="AO5" s="34">
        <v>44742</v>
      </c>
      <c r="AP5" s="225" t="s">
        <v>195</v>
      </c>
      <c r="AQ5" s="226"/>
      <c r="AS5" s="34">
        <v>44742</v>
      </c>
      <c r="AT5" s="225" t="s">
        <v>195</v>
      </c>
      <c r="AU5" s="226"/>
      <c r="AW5" s="34">
        <v>44742</v>
      </c>
      <c r="AX5" s="225" t="s">
        <v>195</v>
      </c>
      <c r="AY5" s="226"/>
    </row>
    <row r="6" spans="1:51" ht="15.75" thickBot="1">
      <c r="A6" s="2" t="s">
        <v>15</v>
      </c>
      <c r="B6" s="1" t="s">
        <v>17</v>
      </c>
      <c r="G6" s="103">
        <v>4106</v>
      </c>
      <c r="H6" s="101" t="s">
        <v>342</v>
      </c>
      <c r="M6" s="37">
        <f>IF(Proforma!C7=Lists!M4,1*Lists!M3,((M5-Proforma!C7)/365)*M3)</f>
        <v>4394399.8849315066</v>
      </c>
      <c r="N6" s="35" t="s">
        <v>199</v>
      </c>
      <c r="O6" s="36"/>
      <c r="Q6" s="94">
        <f>IF(Proforma!C7=Lists!Q4,1*Lists!Q3,((Q5-Proforma!C7)/365)*Q3)</f>
        <v>0</v>
      </c>
      <c r="R6" s="225" t="s">
        <v>199</v>
      </c>
      <c r="S6" s="226"/>
      <c r="U6" s="39">
        <f>IF(Proforma!C7=Lists!U4,1*Lists!U3,((U5-Proforma!C7)/365)*U3)</f>
        <v>0</v>
      </c>
      <c r="V6" s="232" t="s">
        <v>199</v>
      </c>
      <c r="W6" s="233"/>
      <c r="Y6" s="39" t="e">
        <f>IF(Proforma!C7=Lists!Y4,1*Lists!Y3,((Y5-Proforma!C7)/365)*Y3)</f>
        <v>#REF!</v>
      </c>
      <c r="Z6" s="232" t="s">
        <v>199</v>
      </c>
      <c r="AA6" s="233"/>
      <c r="AC6" s="93" t="e">
        <f>IF(Proforma!C7=Lists!AC4,1*Lists!AC3,((AC5-Proforma!C7)/365)*AC3)</f>
        <v>#REF!</v>
      </c>
      <c r="AD6" s="225" t="s">
        <v>199</v>
      </c>
      <c r="AE6" s="226"/>
      <c r="AG6" s="93" t="e">
        <f>IF(Proforma!C7=Lists!AG4,1*Lists!AG3,((AG5-Proforma!C7)/365)*AG3)</f>
        <v>#REF!</v>
      </c>
      <c r="AH6" s="225" t="s">
        <v>199</v>
      </c>
      <c r="AI6" s="226"/>
      <c r="AK6" s="93" t="e">
        <f>IF(Proforma!C7=Lists!AK4,1*Lists!AK3,((AK5-Proforma!C7)/365)*AK3)</f>
        <v>#REF!</v>
      </c>
      <c r="AL6" s="225" t="s">
        <v>199</v>
      </c>
      <c r="AM6" s="226"/>
      <c r="AO6" s="93">
        <f>IF(Proforma!C7=Lists!AO4,1*Lists!AO3,((AO5-Proforma!C7)/365)*AO3)</f>
        <v>0</v>
      </c>
      <c r="AP6" s="225" t="s">
        <v>199</v>
      </c>
      <c r="AQ6" s="226"/>
      <c r="AS6" s="93" t="e">
        <f>IF(Proforma!C7=Lists!AS4,1*Lists!AS3,((AS5-Proforma!C7)/365)*AS3)</f>
        <v>#REF!</v>
      </c>
      <c r="AT6" s="225" t="s">
        <v>199</v>
      </c>
      <c r="AU6" s="226"/>
      <c r="AW6" s="93" t="e">
        <f>IF(Proforma!C7=Lists!AW4,1*Lists!AW3,((AW5-Proforma!C7)/365)*AW3)</f>
        <v>#REF!</v>
      </c>
      <c r="AX6" s="225" t="s">
        <v>199</v>
      </c>
      <c r="AY6" s="226"/>
    </row>
    <row r="7" spans="1:51" ht="15">
      <c r="A7" s="2" t="s">
        <v>5</v>
      </c>
      <c r="G7" s="102">
        <v>4112</v>
      </c>
      <c r="H7" s="101" t="s">
        <v>52</v>
      </c>
    </row>
    <row r="8" spans="1:51" ht="15">
      <c r="A8" s="2" t="s">
        <v>4</v>
      </c>
      <c r="G8" s="102">
        <v>4114</v>
      </c>
      <c r="H8" s="101" t="s">
        <v>343</v>
      </c>
    </row>
    <row r="9" spans="1:51" ht="15">
      <c r="A9" s="3" t="s">
        <v>188</v>
      </c>
      <c r="G9" s="102">
        <v>4116</v>
      </c>
      <c r="H9" s="101" t="s">
        <v>344</v>
      </c>
    </row>
    <row r="10" spans="1:51" ht="15.75" thickBot="1">
      <c r="A10" s="2" t="s">
        <v>13</v>
      </c>
      <c r="G10" s="102">
        <v>4118</v>
      </c>
      <c r="H10" s="101" t="s">
        <v>71</v>
      </c>
      <c r="M10" s="234" t="s">
        <v>292</v>
      </c>
      <c r="N10" s="235"/>
      <c r="O10" s="236"/>
      <c r="Q10" s="246"/>
      <c r="R10" s="246"/>
      <c r="S10" s="246"/>
    </row>
    <row r="11" spans="1:51" ht="15">
      <c r="A11" s="3" t="s">
        <v>20</v>
      </c>
      <c r="G11" s="102">
        <v>4120</v>
      </c>
      <c r="H11" s="101" t="s">
        <v>345</v>
      </c>
      <c r="M11" s="38">
        <v>197300</v>
      </c>
      <c r="N11" s="242" t="s">
        <v>295</v>
      </c>
      <c r="O11" s="243"/>
      <c r="Q11" s="96"/>
      <c r="R11" s="241"/>
      <c r="S11" s="241"/>
    </row>
    <row r="12" spans="1:51" ht="15">
      <c r="A12" s="2" t="s">
        <v>1</v>
      </c>
      <c r="G12" s="102">
        <v>4122</v>
      </c>
      <c r="H12" s="101" t="s">
        <v>346</v>
      </c>
      <c r="M12" s="34">
        <v>44378</v>
      </c>
      <c r="N12" s="244" t="s">
        <v>200</v>
      </c>
      <c r="O12" s="245"/>
      <c r="Q12" s="97"/>
      <c r="R12" s="241"/>
      <c r="S12" s="241"/>
    </row>
    <row r="13" spans="1:51" ht="15">
      <c r="G13" s="102">
        <v>4124</v>
      </c>
      <c r="H13" s="101" t="s">
        <v>347</v>
      </c>
      <c r="M13" s="34">
        <v>44742</v>
      </c>
      <c r="N13" s="244" t="s">
        <v>195</v>
      </c>
      <c r="O13" s="245"/>
      <c r="Q13" s="97"/>
      <c r="R13" s="241"/>
      <c r="S13" s="241"/>
    </row>
    <row r="14" spans="1:51" ht="15.75" thickBot="1">
      <c r="G14" s="102">
        <v>4126</v>
      </c>
      <c r="H14" s="101" t="s">
        <v>48</v>
      </c>
      <c r="M14" s="37"/>
      <c r="N14" s="35"/>
      <c r="O14" s="36"/>
      <c r="Q14" s="98"/>
      <c r="R14" s="241"/>
      <c r="S14" s="241"/>
    </row>
    <row r="15" spans="1:51" ht="15">
      <c r="G15" s="102">
        <v>4128</v>
      </c>
      <c r="H15" s="101" t="s">
        <v>348</v>
      </c>
    </row>
    <row r="16" spans="1:51" ht="15">
      <c r="G16" s="102">
        <v>4130</v>
      </c>
      <c r="H16" s="101" t="s">
        <v>147</v>
      </c>
      <c r="M16" s="240" t="s">
        <v>319</v>
      </c>
      <c r="N16" s="240"/>
      <c r="O16" s="240"/>
    </row>
    <row r="17" spans="7:14" ht="15">
      <c r="G17" s="102">
        <v>4132</v>
      </c>
      <c r="H17" s="101" t="s">
        <v>81</v>
      </c>
      <c r="M17">
        <v>0.3</v>
      </c>
      <c r="N17" t="s">
        <v>320</v>
      </c>
    </row>
    <row r="18" spans="7:14" ht="15">
      <c r="G18" s="102">
        <v>4134</v>
      </c>
      <c r="H18" s="101" t="s">
        <v>349</v>
      </c>
    </row>
    <row r="19" spans="7:14" ht="15">
      <c r="G19" s="102">
        <v>4136</v>
      </c>
      <c r="H19" s="101" t="s">
        <v>41</v>
      </c>
    </row>
    <row r="20" spans="7:14" ht="15">
      <c r="G20" s="102">
        <v>4138</v>
      </c>
      <c r="H20" s="101" t="s">
        <v>350</v>
      </c>
    </row>
    <row r="21" spans="7:14" ht="15">
      <c r="G21" s="102">
        <v>4140</v>
      </c>
      <c r="H21" s="101" t="s">
        <v>351</v>
      </c>
    </row>
    <row r="22" spans="7:14" ht="15">
      <c r="G22" s="102">
        <v>4141</v>
      </c>
      <c r="H22" s="101" t="s">
        <v>169</v>
      </c>
    </row>
    <row r="23" spans="7:14" ht="15">
      <c r="G23" s="102">
        <v>4142</v>
      </c>
      <c r="H23" s="101" t="s">
        <v>352</v>
      </c>
    </row>
    <row r="24" spans="7:14" ht="15">
      <c r="G24" s="102">
        <v>4144</v>
      </c>
      <c r="H24" s="101" t="s">
        <v>353</v>
      </c>
    </row>
    <row r="25" spans="7:14" ht="15">
      <c r="G25" s="102">
        <v>4146</v>
      </c>
      <c r="H25" s="101" t="s">
        <v>354</v>
      </c>
    </row>
    <row r="26" spans="7:14" ht="15">
      <c r="G26" s="102">
        <v>4148</v>
      </c>
      <c r="H26" s="101" t="s">
        <v>355</v>
      </c>
    </row>
    <row r="27" spans="7:14" ht="15">
      <c r="G27" s="102">
        <v>4150</v>
      </c>
      <c r="H27" s="101" t="s">
        <v>356</v>
      </c>
    </row>
    <row r="28" spans="7:14" ht="15">
      <c r="G28" s="102">
        <v>4160</v>
      </c>
      <c r="H28" s="101" t="s">
        <v>357</v>
      </c>
    </row>
    <row r="29" spans="7:14" ht="15">
      <c r="G29" s="102">
        <v>4165</v>
      </c>
      <c r="H29" s="101" t="s">
        <v>358</v>
      </c>
    </row>
    <row r="30" spans="7:14" ht="15">
      <c r="G30" s="102">
        <v>4170</v>
      </c>
      <c r="H30" s="101" t="s">
        <v>359</v>
      </c>
    </row>
    <row r="31" spans="7:14" ht="15">
      <c r="G31" s="102">
        <v>4175</v>
      </c>
      <c r="H31" s="101" t="s">
        <v>360</v>
      </c>
    </row>
    <row r="32" spans="7:14" ht="15">
      <c r="G32" s="102">
        <v>4180</v>
      </c>
      <c r="H32" s="101" t="s">
        <v>361</v>
      </c>
    </row>
    <row r="33" spans="7:8" ht="15">
      <c r="G33" s="102">
        <v>4185</v>
      </c>
      <c r="H33" s="101" t="s">
        <v>362</v>
      </c>
    </row>
    <row r="34" spans="7:8" ht="15">
      <c r="G34" s="102">
        <v>4201</v>
      </c>
      <c r="H34" s="101" t="s">
        <v>301</v>
      </c>
    </row>
    <row r="35" spans="7:8" ht="15">
      <c r="G35" s="102">
        <v>4202</v>
      </c>
      <c r="H35" s="101" t="s">
        <v>363</v>
      </c>
    </row>
    <row r="36" spans="7:8" ht="15">
      <c r="G36" s="102">
        <v>4203</v>
      </c>
      <c r="H36" s="101" t="s">
        <v>364</v>
      </c>
    </row>
    <row r="37" spans="7:8" ht="15">
      <c r="G37" s="102">
        <v>4204</v>
      </c>
      <c r="H37" s="101" t="s">
        <v>365</v>
      </c>
    </row>
    <row r="38" spans="7:8" ht="15">
      <c r="G38" s="102">
        <v>4207</v>
      </c>
      <c r="H38" s="101" t="s">
        <v>366</v>
      </c>
    </row>
    <row r="39" spans="7:8" ht="15">
      <c r="G39" s="102">
        <v>4220</v>
      </c>
      <c r="H39" s="101" t="s">
        <v>302</v>
      </c>
    </row>
    <row r="40" spans="7:8" ht="15">
      <c r="G40" s="102">
        <v>4225</v>
      </c>
      <c r="H40" s="101" t="s">
        <v>303</v>
      </c>
    </row>
    <row r="41" spans="7:8" ht="15">
      <c r="G41" s="102">
        <v>4230</v>
      </c>
      <c r="H41" s="101" t="s">
        <v>304</v>
      </c>
    </row>
    <row r="42" spans="7:8" ht="15">
      <c r="G42" s="102">
        <v>4235</v>
      </c>
      <c r="H42" s="101" t="s">
        <v>60</v>
      </c>
    </row>
    <row r="43" spans="7:8" ht="15">
      <c r="G43" s="102">
        <v>4240</v>
      </c>
      <c r="H43" s="101" t="s">
        <v>305</v>
      </c>
    </row>
    <row r="44" spans="7:8" ht="15">
      <c r="G44" s="102">
        <v>4246</v>
      </c>
      <c r="H44" s="101" t="s">
        <v>306</v>
      </c>
    </row>
    <row r="45" spans="7:8" ht="15">
      <c r="G45" s="102">
        <v>4249</v>
      </c>
      <c r="H45" s="101" t="s">
        <v>307</v>
      </c>
    </row>
    <row r="46" spans="7:8" ht="15">
      <c r="G46" s="102">
        <v>4251</v>
      </c>
      <c r="H46" s="101" t="s">
        <v>367</v>
      </c>
    </row>
    <row r="47" spans="7:8" ht="15">
      <c r="G47" s="102">
        <v>4252</v>
      </c>
      <c r="H47" s="101" t="s">
        <v>368</v>
      </c>
    </row>
    <row r="48" spans="7:8" ht="15">
      <c r="G48" s="102">
        <v>4254</v>
      </c>
      <c r="H48" s="101" t="s">
        <v>369</v>
      </c>
    </row>
    <row r="49" spans="7:8" ht="15">
      <c r="G49" s="102">
        <v>4258</v>
      </c>
      <c r="H49" s="101" t="s">
        <v>370</v>
      </c>
    </row>
    <row r="50" spans="7:8" ht="15">
      <c r="G50" s="102">
        <v>4260</v>
      </c>
      <c r="H50" s="101" t="s">
        <v>308</v>
      </c>
    </row>
    <row r="51" spans="7:8" ht="15">
      <c r="G51" s="102">
        <v>4262</v>
      </c>
      <c r="H51" s="101" t="s">
        <v>309</v>
      </c>
    </row>
    <row r="52" spans="7:8" ht="15">
      <c r="G52" s="102">
        <v>4264</v>
      </c>
      <c r="H52" s="101" t="s">
        <v>371</v>
      </c>
    </row>
    <row r="53" spans="7:8" ht="15">
      <c r="G53" s="102">
        <v>4266</v>
      </c>
      <c r="H53" s="101" t="s">
        <v>372</v>
      </c>
    </row>
    <row r="54" spans="7:8" ht="15">
      <c r="G54" s="102">
        <v>4268</v>
      </c>
      <c r="H54" s="101" t="s">
        <v>373</v>
      </c>
    </row>
    <row r="55" spans="7:8" ht="15">
      <c r="G55" s="102">
        <v>4270</v>
      </c>
      <c r="H55" s="101" t="s">
        <v>310</v>
      </c>
    </row>
    <row r="56" spans="7:8" ht="15">
      <c r="G56" s="102">
        <v>4272</v>
      </c>
      <c r="H56" s="101" t="s">
        <v>374</v>
      </c>
    </row>
    <row r="57" spans="7:8" ht="15">
      <c r="G57" s="102">
        <v>4274</v>
      </c>
      <c r="H57" s="101" t="s">
        <v>375</v>
      </c>
    </row>
    <row r="58" spans="7:8" ht="15">
      <c r="G58" s="102">
        <v>4276</v>
      </c>
      <c r="H58" s="101" t="s">
        <v>311</v>
      </c>
    </row>
    <row r="59" spans="7:8" ht="15">
      <c r="G59" s="102">
        <v>4278</v>
      </c>
      <c r="H59" s="101" t="s">
        <v>376</v>
      </c>
    </row>
    <row r="60" spans="7:8" ht="15">
      <c r="G60" s="102">
        <v>4280</v>
      </c>
      <c r="H60" s="101" t="s">
        <v>312</v>
      </c>
    </row>
    <row r="61" spans="7:8" ht="15">
      <c r="G61" s="102">
        <v>4282</v>
      </c>
      <c r="H61" s="101" t="s">
        <v>377</v>
      </c>
    </row>
    <row r="62" spans="7:8" ht="15">
      <c r="G62" s="102">
        <v>4284</v>
      </c>
      <c r="H62" s="101" t="s">
        <v>378</v>
      </c>
    </row>
    <row r="63" spans="7:8" ht="15">
      <c r="G63" s="102">
        <v>4286</v>
      </c>
      <c r="H63" s="101" t="s">
        <v>313</v>
      </c>
    </row>
    <row r="64" spans="7:8" ht="15">
      <c r="G64" s="102">
        <v>4288</v>
      </c>
      <c r="H64" s="101" t="s">
        <v>314</v>
      </c>
    </row>
    <row r="65" spans="7:8" ht="15">
      <c r="G65" s="102">
        <v>4290</v>
      </c>
      <c r="H65" s="101" t="s">
        <v>379</v>
      </c>
    </row>
    <row r="66" spans="7:8" ht="15">
      <c r="G66" s="102">
        <v>4292</v>
      </c>
      <c r="H66" s="101" t="s">
        <v>380</v>
      </c>
    </row>
    <row r="67" spans="7:8" ht="15">
      <c r="G67" s="102">
        <v>4294</v>
      </c>
      <c r="H67" s="101" t="s">
        <v>381</v>
      </c>
    </row>
    <row r="68" spans="7:8" ht="15">
      <c r="G68" s="102">
        <v>4296</v>
      </c>
      <c r="H68" s="101" t="s">
        <v>315</v>
      </c>
    </row>
    <row r="69" spans="7:8" ht="15">
      <c r="G69" s="102">
        <v>4298</v>
      </c>
      <c r="H69" s="101" t="s">
        <v>316</v>
      </c>
    </row>
  </sheetData>
  <mergeCells count="60">
    <mergeCell ref="M16:O16"/>
    <mergeCell ref="R14:S14"/>
    <mergeCell ref="M10:O10"/>
    <mergeCell ref="N11:O11"/>
    <mergeCell ref="N12:O12"/>
    <mergeCell ref="N13:O13"/>
    <mergeCell ref="Q10:S10"/>
    <mergeCell ref="R11:S11"/>
    <mergeCell ref="R12:S12"/>
    <mergeCell ref="R13:S13"/>
    <mergeCell ref="AD6:AE6"/>
    <mergeCell ref="AG2:AI2"/>
    <mergeCell ref="AH3:AI3"/>
    <mergeCell ref="AH4:AI4"/>
    <mergeCell ref="AH5:AI5"/>
    <mergeCell ref="AH6:AI6"/>
    <mergeCell ref="Q2:S2"/>
    <mergeCell ref="R3:S3"/>
    <mergeCell ref="R4:S4"/>
    <mergeCell ref="R5:S5"/>
    <mergeCell ref="AC2:AE2"/>
    <mergeCell ref="AD3:AE3"/>
    <mergeCell ref="AD4:AE4"/>
    <mergeCell ref="AD5:AE5"/>
    <mergeCell ref="M1:AA1"/>
    <mergeCell ref="V6:W6"/>
    <mergeCell ref="Z6:AA6"/>
    <mergeCell ref="R6:S6"/>
    <mergeCell ref="M2:O2"/>
    <mergeCell ref="N3:O3"/>
    <mergeCell ref="N4:O4"/>
    <mergeCell ref="N5:O5"/>
    <mergeCell ref="U2:W2"/>
    <mergeCell ref="V3:W3"/>
    <mergeCell ref="V4:W4"/>
    <mergeCell ref="V5:W5"/>
    <mergeCell ref="Y2:AA2"/>
    <mergeCell ref="Z3:AA3"/>
    <mergeCell ref="Z4:AA4"/>
    <mergeCell ref="Z5:AA5"/>
    <mergeCell ref="AK2:AM2"/>
    <mergeCell ref="AL3:AM3"/>
    <mergeCell ref="AL4:AM4"/>
    <mergeCell ref="AL5:AM5"/>
    <mergeCell ref="AL6:AM6"/>
    <mergeCell ref="AO2:AQ2"/>
    <mergeCell ref="AP3:AQ3"/>
    <mergeCell ref="AP4:AQ4"/>
    <mergeCell ref="AP5:AQ5"/>
    <mergeCell ref="AP6:AQ6"/>
    <mergeCell ref="AS2:AU2"/>
    <mergeCell ref="AT3:AU3"/>
    <mergeCell ref="AT4:AU4"/>
    <mergeCell ref="AT5:AU5"/>
    <mergeCell ref="AT6:AU6"/>
    <mergeCell ref="AW2:AY2"/>
    <mergeCell ref="AX3:AY3"/>
    <mergeCell ref="AX4:AY4"/>
    <mergeCell ref="AX5:AY5"/>
    <mergeCell ref="AX6:AY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zoomScale="80" zoomScaleNormal="80" workbookViewId="0">
      <selection activeCell="AF9" sqref="AF9"/>
    </sheetView>
  </sheetViews>
  <sheetFormatPr defaultColWidth="8.85546875" defaultRowHeight="15"/>
  <cols>
    <col min="1" max="1" width="47.85546875" style="25" bestFit="1" customWidth="1"/>
    <col min="2" max="4" width="12.5703125" style="17" customWidth="1"/>
    <col min="5" max="5" width="15.42578125" style="18" customWidth="1"/>
    <col min="6" max="8" width="16.42578125" style="17" customWidth="1"/>
    <col min="9" max="9" width="16.42578125" style="15" customWidth="1"/>
    <col min="10" max="10" width="49.42578125" style="15" bestFit="1" customWidth="1"/>
    <col min="11" max="14" width="9.42578125" style="15" hidden="1" customWidth="1"/>
    <col min="15" max="17" width="8.85546875" style="15" hidden="1" customWidth="1"/>
    <col min="18" max="18" width="11.42578125" style="15" hidden="1" customWidth="1"/>
    <col min="19" max="19" width="0" style="15" hidden="1" customWidth="1"/>
    <col min="20" max="20" width="8.85546875" style="17"/>
    <col min="21" max="16384" width="8.85546875" style="15"/>
  </cols>
  <sheetData>
    <row r="1" spans="1:23" ht="60">
      <c r="A1" s="7" t="s">
        <v>23</v>
      </c>
      <c r="B1" s="8" t="s">
        <v>24</v>
      </c>
      <c r="C1" s="8" t="s">
        <v>25</v>
      </c>
      <c r="D1" s="9" t="s">
        <v>26</v>
      </c>
      <c r="E1" s="10" t="s">
        <v>27</v>
      </c>
      <c r="F1" s="8" t="s">
        <v>28</v>
      </c>
      <c r="G1" s="8" t="s">
        <v>29</v>
      </c>
      <c r="H1" s="9" t="s">
        <v>30</v>
      </c>
      <c r="I1" s="10" t="s">
        <v>31</v>
      </c>
      <c r="J1" s="11" t="s">
        <v>237</v>
      </c>
      <c r="K1" s="12" t="s">
        <v>32</v>
      </c>
      <c r="L1" s="12" t="s">
        <v>33</v>
      </c>
      <c r="M1" s="13" t="s">
        <v>34</v>
      </c>
      <c r="N1" s="14" t="s">
        <v>35</v>
      </c>
      <c r="O1" s="12" t="s">
        <v>28</v>
      </c>
      <c r="P1" s="12" t="s">
        <v>29</v>
      </c>
      <c r="Q1" s="13" t="s">
        <v>30</v>
      </c>
      <c r="R1" s="10" t="s">
        <v>36</v>
      </c>
      <c r="S1" s="13" t="s">
        <v>37</v>
      </c>
      <c r="T1" s="13" t="s">
        <v>38</v>
      </c>
      <c r="U1" s="40" t="s">
        <v>178</v>
      </c>
      <c r="V1" s="13" t="s">
        <v>39</v>
      </c>
      <c r="W1" s="15" t="s">
        <v>177</v>
      </c>
    </row>
    <row r="2" spans="1:23">
      <c r="A2" s="16" t="s">
        <v>40</v>
      </c>
      <c r="B2" s="17">
        <v>4052</v>
      </c>
      <c r="C2" s="17">
        <v>3606</v>
      </c>
      <c r="D2" s="17">
        <f>VLOOKUP(A2,'[2]2017'!$B:$I,8,FALSE)</f>
        <v>3362</v>
      </c>
      <c r="E2" s="18">
        <f>IFERROR(AVERAGE(B2:D2),0)</f>
        <v>3673.3333333333335</v>
      </c>
      <c r="F2" s="19">
        <v>17</v>
      </c>
      <c r="G2" s="17">
        <v>11</v>
      </c>
      <c r="H2" s="17">
        <f>VLOOKUP(A2,'[2]2017'!$B:$D,3,FALSE)</f>
        <v>13</v>
      </c>
      <c r="I2" s="20">
        <f>AVERAGE(F2:H2)</f>
        <v>13.666666666666666</v>
      </c>
      <c r="J2" s="21" t="s">
        <v>40</v>
      </c>
      <c r="K2" s="22">
        <v>199338</v>
      </c>
      <c r="L2" s="22">
        <v>177284</v>
      </c>
      <c r="M2" s="22">
        <v>185000</v>
      </c>
      <c r="N2" s="22">
        <f>IFERROR(AVERAGE(K2:M2),0)</f>
        <v>187207.33333333334</v>
      </c>
      <c r="O2" s="17">
        <v>47</v>
      </c>
      <c r="P2" s="17">
        <v>34</v>
      </c>
      <c r="Q2" s="17">
        <v>33</v>
      </c>
      <c r="R2" s="20">
        <f>AVERAGE(O2:Q2)</f>
        <v>38</v>
      </c>
      <c r="S2" s="23">
        <v>50.842888688967037</v>
      </c>
      <c r="T2" s="63" t="s">
        <v>236</v>
      </c>
      <c r="U2" s="33">
        <f>IF(T2="Change",INDEX('FY21 wRVU Changes'!$E:$E,MATCH(Specialty!J2,'FY21 wRVU Changes'!$C:$C,0)),INDEX('Specialty Lookup'!$B:$B,MATCH(Specialty!J2,'Specialty Lookup'!$A:$A,0)))</f>
        <v>59.806442528646045</v>
      </c>
      <c r="V2" s="15">
        <f>IFERROR(VLOOKUP(A2,'Count of Providers as of Jan 18'!A:B,2,FALSE),0)</f>
        <v>6</v>
      </c>
      <c r="W2" s="32">
        <f>S2-U2</f>
        <v>-8.9635538396790082</v>
      </c>
    </row>
    <row r="3" spans="1:23">
      <c r="A3" s="16" t="str">
        <f>J3</f>
        <v>Anesthesiology: Pain Management</v>
      </c>
      <c r="F3" s="19"/>
      <c r="I3" s="20"/>
      <c r="J3" s="21" t="s">
        <v>42</v>
      </c>
      <c r="K3" s="22">
        <v>337293</v>
      </c>
      <c r="L3" s="22">
        <v>357432</v>
      </c>
      <c r="M3" s="22">
        <v>357263</v>
      </c>
      <c r="N3" s="22">
        <f t="shared" ref="N3:N71" si="0">IFERROR(AVERAGE(K3:M3),0)</f>
        <v>350662.66666666669</v>
      </c>
      <c r="O3" s="17">
        <v>1375</v>
      </c>
      <c r="P3" s="17">
        <v>1008</v>
      </c>
      <c r="Q3" s="17">
        <v>1087</v>
      </c>
      <c r="R3" s="20">
        <f t="shared" ref="R3:R71" si="1">AVERAGE(O3:Q3)</f>
        <v>1156.6666666666667</v>
      </c>
      <c r="S3" s="23">
        <v>54.37</v>
      </c>
      <c r="U3" s="33">
        <f>IF(T3="Change",INDEX('FY21 wRVU Changes'!$E:$E,MATCH(Specialty!J3,'FY21 wRVU Changes'!$C:$C,0)),INDEX('Specialty Lookup'!$B:$B,MATCH(Specialty!J3,'Specialty Lookup'!$A:$A,0)))</f>
        <v>83.935873255375341</v>
      </c>
      <c r="V3" s="15">
        <f>IFERROR(VLOOKUP(A3,'Count of Providers as of Jan 18'!A:B,2,FALSE),0)</f>
        <v>6</v>
      </c>
      <c r="W3" s="32">
        <f t="shared" ref="W3:W71" si="2">S3-U3</f>
        <v>-29.565873255375344</v>
      </c>
    </row>
    <row r="4" spans="1:23">
      <c r="A4" s="16" t="s">
        <v>42</v>
      </c>
      <c r="B4" s="17">
        <v>5044</v>
      </c>
      <c r="C4" s="17">
        <v>4266</v>
      </c>
      <c r="D4" s="17">
        <f>VLOOKUP(A4,'[2]2017'!$B:$I,8,FALSE)</f>
        <v>4502</v>
      </c>
      <c r="E4" s="18">
        <f t="shared" ref="E4:E65" si="3">IFERROR(AVERAGE(B4:D4),0)</f>
        <v>4604</v>
      </c>
      <c r="F4" s="19">
        <v>25</v>
      </c>
      <c r="G4" s="17">
        <v>25</v>
      </c>
      <c r="H4" s="17">
        <f>VLOOKUP(A4,'[2]2017'!$B:$D,3,FALSE)</f>
        <v>33</v>
      </c>
      <c r="I4" s="20">
        <f t="shared" ref="I4:I65" si="4">AVERAGE(F4:H4)</f>
        <v>27.666666666666668</v>
      </c>
      <c r="J4" s="21" t="s">
        <v>43</v>
      </c>
      <c r="K4" s="22">
        <v>321583</v>
      </c>
      <c r="L4" s="22">
        <v>338877</v>
      </c>
      <c r="M4" s="22">
        <v>361388</v>
      </c>
      <c r="N4" s="22">
        <f t="shared" si="0"/>
        <v>340616</v>
      </c>
      <c r="O4" s="17">
        <v>66</v>
      </c>
      <c r="P4" s="17">
        <v>56</v>
      </c>
      <c r="Q4" s="17">
        <v>70</v>
      </c>
      <c r="R4" s="20">
        <f t="shared" si="1"/>
        <v>64</v>
      </c>
      <c r="S4" s="23">
        <v>80.231607222802566</v>
      </c>
      <c r="U4" s="33">
        <f>IF(T4="Change",INDEX('FY21 wRVU Changes'!$E:$E,MATCH(Specialty!J4,'FY21 wRVU Changes'!$C:$C,0)),INDEX('Specialty Lookup'!$B:$B,MATCH(Specialty!J4,'Specialty Lookup'!$A:$A,0)))</f>
        <v>41.775672810587153</v>
      </c>
      <c r="V4" s="15">
        <f>IFERROR(VLOOKUP(A4,'Count of Providers as of Jan 18'!A:B,2,FALSE),0)</f>
        <v>6</v>
      </c>
      <c r="W4" s="32">
        <f t="shared" si="2"/>
        <v>38.455934412215413</v>
      </c>
    </row>
    <row r="5" spans="1:23">
      <c r="A5" s="16" t="s">
        <v>43</v>
      </c>
      <c r="B5" s="17">
        <v>8506</v>
      </c>
      <c r="C5" s="17">
        <v>9004</v>
      </c>
      <c r="D5" s="17">
        <f>VLOOKUP(A5,'[2]2017'!$B:$I,8,FALSE)</f>
        <v>9587</v>
      </c>
      <c r="E5" s="18">
        <f t="shared" si="3"/>
        <v>9032.3333333333339</v>
      </c>
      <c r="F5" s="19">
        <v>39</v>
      </c>
      <c r="G5" s="17">
        <v>35</v>
      </c>
      <c r="H5" s="17">
        <f>VLOOKUP(A5,'[2]2017'!$B:$D,3,FALSE)</f>
        <v>25</v>
      </c>
      <c r="I5" s="20">
        <f t="shared" si="4"/>
        <v>33</v>
      </c>
      <c r="J5" s="21" t="s">
        <v>44</v>
      </c>
      <c r="K5" s="22">
        <v>300756</v>
      </c>
      <c r="L5" s="22">
        <v>350333</v>
      </c>
      <c r="M5" s="22">
        <v>405000</v>
      </c>
      <c r="N5" s="22">
        <f t="shared" si="0"/>
        <v>352029.66666666669</v>
      </c>
      <c r="O5" s="17">
        <v>83</v>
      </c>
      <c r="P5" s="17">
        <v>59</v>
      </c>
      <c r="Q5" s="17">
        <v>69</v>
      </c>
      <c r="R5" s="20">
        <f t="shared" si="1"/>
        <v>70.333333333333329</v>
      </c>
      <c r="S5" s="23">
        <v>42.221145655877343</v>
      </c>
      <c r="U5" s="33">
        <f>IF(T5="Change",INDEX('FY21 wRVU Changes'!$E:$E,MATCH(Specialty!J5,'FY21 wRVU Changes'!$C:$C,0)),INDEX('Specialty Lookup'!$B:$B,MATCH(Specialty!J5,'Specialty Lookup'!$A:$A,0)))</f>
        <v>50.651794413770709</v>
      </c>
      <c r="V5" s="15">
        <f>IFERROR(VLOOKUP(A5,'Count of Providers as of Jan 18'!A:B,2,FALSE),0)</f>
        <v>6</v>
      </c>
      <c r="W5" s="32">
        <f t="shared" si="2"/>
        <v>-8.4306487578933655</v>
      </c>
    </row>
    <row r="6" spans="1:23">
      <c r="A6" s="16" t="s">
        <v>44</v>
      </c>
      <c r="B6" s="17">
        <v>8377</v>
      </c>
      <c r="C6" s="17">
        <v>7053</v>
      </c>
      <c r="D6" s="17">
        <f>VLOOKUP(A6,'[2]2017'!$B:$I,8,FALSE)</f>
        <v>8642</v>
      </c>
      <c r="E6" s="18">
        <f t="shared" si="3"/>
        <v>8024</v>
      </c>
      <c r="F6" s="19">
        <v>16</v>
      </c>
      <c r="G6" s="17">
        <v>16</v>
      </c>
      <c r="H6" s="17">
        <f>VLOOKUP(A6,'[2]2017'!$B:$D,3,FALSE)</f>
        <v>52</v>
      </c>
      <c r="I6" s="20">
        <f t="shared" si="4"/>
        <v>28</v>
      </c>
      <c r="J6" s="21" t="s">
        <v>45</v>
      </c>
      <c r="K6" s="22">
        <v>342319</v>
      </c>
      <c r="L6" s="22">
        <v>253802</v>
      </c>
      <c r="M6" s="22">
        <v>274162</v>
      </c>
      <c r="N6" s="22">
        <f t="shared" si="0"/>
        <v>290094.33333333331</v>
      </c>
      <c r="O6" s="17">
        <v>92</v>
      </c>
      <c r="P6" s="17">
        <v>83</v>
      </c>
      <c r="Q6" s="17">
        <v>86</v>
      </c>
      <c r="R6" s="20">
        <f t="shared" si="1"/>
        <v>87</v>
      </c>
      <c r="S6" s="23">
        <v>46.8223083548665</v>
      </c>
      <c r="U6" s="33">
        <f>IF(T6="Change",INDEX('FY21 wRVU Changes'!$E:$E,MATCH(Specialty!J6,'FY21 wRVU Changes'!$C:$C,0)),INDEX('Specialty Lookup'!$B:$B,MATCH(Specialty!J6,'Specialty Lookup'!$A:$A,0)))</f>
        <v>45.885778194674934</v>
      </c>
      <c r="V6" s="15">
        <f>IFERROR(VLOOKUP(A6,'Count of Providers as of Jan 18'!A:B,2,FALSE),0)</f>
        <v>2</v>
      </c>
      <c r="W6" s="32">
        <f t="shared" si="2"/>
        <v>0.9365301601915661</v>
      </c>
    </row>
    <row r="7" spans="1:23">
      <c r="A7" s="16" t="s">
        <v>45</v>
      </c>
      <c r="B7" s="17">
        <v>8532</v>
      </c>
      <c r="C7" s="17">
        <v>9558</v>
      </c>
      <c r="D7" s="17">
        <f>VLOOKUP(A7,'[2]2017'!$B:$I,8,FALSE)</f>
        <v>9029</v>
      </c>
      <c r="E7" s="18">
        <f t="shared" si="3"/>
        <v>9039.6666666666661</v>
      </c>
      <c r="F7" s="19">
        <v>48</v>
      </c>
      <c r="G7" s="17">
        <v>57</v>
      </c>
      <c r="H7" s="17">
        <f>VLOOKUP(A7,'[2]2017'!$B:$D,3,FALSE)</f>
        <v>53</v>
      </c>
      <c r="I7" s="20">
        <f t="shared" si="4"/>
        <v>52.666666666666664</v>
      </c>
      <c r="J7" s="21" t="s">
        <v>46</v>
      </c>
      <c r="K7" s="22">
        <v>352500</v>
      </c>
      <c r="L7" s="22">
        <v>385409</v>
      </c>
      <c r="M7" s="22">
        <v>400000</v>
      </c>
      <c r="N7" s="22">
        <f t="shared" si="0"/>
        <v>379303</v>
      </c>
      <c r="O7" s="17">
        <v>94</v>
      </c>
      <c r="P7" s="17">
        <v>78</v>
      </c>
      <c r="Q7" s="17">
        <v>95</v>
      </c>
      <c r="R7" s="20">
        <f t="shared" si="1"/>
        <v>89</v>
      </c>
      <c r="S7" s="23">
        <v>43.892649277861608</v>
      </c>
      <c r="U7" s="33">
        <f>IF(T7="Change",INDEX('FY21 wRVU Changes'!$E:$E,MATCH(Specialty!J7,'FY21 wRVU Changes'!$C:$C,0)),INDEX('Specialty Lookup'!$B:$B,MATCH(Specialty!J7,'Specialty Lookup'!$A:$A,0)))</f>
        <v>44.944835792479779</v>
      </c>
      <c r="V7" s="15">
        <f>IFERROR(VLOOKUP(A7,'Count of Providers as of Jan 18'!A:B,2,FALSE),0)</f>
        <v>6</v>
      </c>
      <c r="W7" s="32">
        <f t="shared" si="2"/>
        <v>-1.052186514618171</v>
      </c>
    </row>
    <row r="8" spans="1:23">
      <c r="A8" s="16" t="s">
        <v>46</v>
      </c>
      <c r="B8" s="17">
        <v>6311</v>
      </c>
      <c r="C8" s="17">
        <v>6376</v>
      </c>
      <c r="D8" s="17">
        <f>VLOOKUP(A8,'[2]2017'!$B:$I,8,FALSE)</f>
        <v>6469</v>
      </c>
      <c r="E8" s="18">
        <f t="shared" si="3"/>
        <v>6385.333333333333</v>
      </c>
      <c r="F8" s="19">
        <v>164</v>
      </c>
      <c r="G8" s="17">
        <v>157</v>
      </c>
      <c r="H8" s="17">
        <f>VLOOKUP(A8,'[2]2017'!$B:$D,3,FALSE)</f>
        <v>127</v>
      </c>
      <c r="I8" s="20">
        <f t="shared" si="4"/>
        <v>149.33333333333334</v>
      </c>
      <c r="J8" s="21" t="s">
        <v>47</v>
      </c>
      <c r="K8" s="22">
        <v>275000</v>
      </c>
      <c r="L8" s="22">
        <v>290567</v>
      </c>
      <c r="M8" s="22">
        <v>287493</v>
      </c>
      <c r="N8" s="22">
        <f t="shared" si="0"/>
        <v>284353.33333333331</v>
      </c>
      <c r="O8" s="17">
        <v>416</v>
      </c>
      <c r="P8" s="17">
        <v>270</v>
      </c>
      <c r="Q8" s="17">
        <v>373</v>
      </c>
      <c r="R8" s="20">
        <f t="shared" si="1"/>
        <v>353</v>
      </c>
      <c r="S8" s="23">
        <v>45.504301984383552</v>
      </c>
      <c r="U8" s="33">
        <f>IF(T8="Change",INDEX('FY21 wRVU Changes'!$E:$E,MATCH(Specialty!J8,'FY21 wRVU Changes'!$C:$C,0)),INDEX('Specialty Lookup'!$B:$B,MATCH(Specialty!J8,'Specialty Lookup'!$A:$A,0)))</f>
        <v>66.138417130965962</v>
      </c>
      <c r="V8" s="15">
        <f>IFERROR(VLOOKUP(A8,'Count of Providers as of Jan 18'!A:B,2,FALSE),0)</f>
        <v>15</v>
      </c>
      <c r="W8" s="32">
        <f t="shared" si="2"/>
        <v>-20.63411514658241</v>
      </c>
    </row>
    <row r="9" spans="1:23">
      <c r="A9" s="16" t="s">
        <v>47</v>
      </c>
      <c r="B9" s="17">
        <v>4562</v>
      </c>
      <c r="C9" s="17">
        <v>7369</v>
      </c>
      <c r="D9" s="17">
        <f>VLOOKUP(A9,'[2]2017'!$B:$I,8,FALSE)</f>
        <v>5369</v>
      </c>
      <c r="E9" s="18">
        <f t="shared" si="3"/>
        <v>5766.666666666667</v>
      </c>
      <c r="F9" s="19">
        <v>14</v>
      </c>
      <c r="G9" s="17">
        <v>60</v>
      </c>
      <c r="H9" s="17">
        <f>VLOOKUP(A9,'[2]2017'!$B:$D,3,FALSE)</f>
        <v>12</v>
      </c>
      <c r="I9" s="20">
        <f t="shared" si="4"/>
        <v>28.666666666666668</v>
      </c>
      <c r="J9" s="21" t="s">
        <v>48</v>
      </c>
      <c r="K9" s="22">
        <v>284041</v>
      </c>
      <c r="L9" s="22">
        <v>300002</v>
      </c>
      <c r="M9" s="22">
        <v>265247</v>
      </c>
      <c r="N9" s="22">
        <f t="shared" si="0"/>
        <v>283096.66666666669</v>
      </c>
      <c r="O9" s="17">
        <v>36</v>
      </c>
      <c r="P9" s="17">
        <v>95</v>
      </c>
      <c r="Q9" s="17">
        <v>66</v>
      </c>
      <c r="R9" s="20">
        <f t="shared" si="1"/>
        <v>65.666666666666671</v>
      </c>
      <c r="S9" s="23">
        <v>54.813341169556274</v>
      </c>
      <c r="U9" s="33">
        <f>IF(T9="Change",INDEX('FY21 wRVU Changes'!$E:$E,MATCH(Specialty!J9,'FY21 wRVU Changes'!$C:$C,0)),INDEX('Specialty Lookup'!$B:$B,MATCH(Specialty!J9,'Specialty Lookup'!$A:$A,0)))</f>
        <v>49.784257171325187</v>
      </c>
      <c r="V9" s="15">
        <f>IFERROR(VLOOKUP(A9,'Count of Providers as of Jan 18'!A:B,2,FALSE),0)</f>
        <v>3</v>
      </c>
      <c r="W9" s="32">
        <f t="shared" si="2"/>
        <v>5.0290839982310871</v>
      </c>
    </row>
    <row r="10" spans="1:23">
      <c r="A10" s="16" t="s">
        <v>48</v>
      </c>
      <c r="B10" s="17">
        <v>6831</v>
      </c>
      <c r="C10" s="17">
        <v>6871</v>
      </c>
      <c r="D10" s="17">
        <f>VLOOKUP(A10,'[2]2017'!$B:$I,8,FALSE)</f>
        <v>6588</v>
      </c>
      <c r="E10" s="18">
        <f t="shared" si="3"/>
        <v>6763.333333333333</v>
      </c>
      <c r="F10" s="19">
        <v>70</v>
      </c>
      <c r="G10" s="17">
        <v>49</v>
      </c>
      <c r="H10" s="17">
        <f>VLOOKUP(A10,'[2]2017'!$B:$D,3,FALSE)</f>
        <v>60</v>
      </c>
      <c r="I10" s="20">
        <f t="shared" si="4"/>
        <v>59.666666666666664</v>
      </c>
      <c r="J10" s="21" t="s">
        <v>49</v>
      </c>
      <c r="K10" s="22">
        <v>300409</v>
      </c>
      <c r="L10" s="22">
        <v>307889</v>
      </c>
      <c r="M10" s="22">
        <v>311125</v>
      </c>
      <c r="N10" s="22">
        <f t="shared" si="0"/>
        <v>306474.33333333331</v>
      </c>
      <c r="O10" s="17">
        <v>172</v>
      </c>
      <c r="P10" s="17">
        <v>106</v>
      </c>
      <c r="Q10" s="17">
        <v>135</v>
      </c>
      <c r="R10" s="20">
        <f t="shared" si="1"/>
        <v>137.66666666666666</v>
      </c>
      <c r="S10" s="23">
        <v>48.44332570556827</v>
      </c>
      <c r="T10" s="63" t="s">
        <v>236</v>
      </c>
      <c r="U10" s="33">
        <f>IF(T10="Change",INDEX('FY21 wRVU Changes'!$E:$E,MATCH(Specialty!J10,'FY21 wRVU Changes'!$C:$C,0)),INDEX('Specialty Lookup'!$B:$B,MATCH(Specialty!J10,'Specialty Lookup'!$A:$A,0)))</f>
        <v>48.710388528170043</v>
      </c>
      <c r="V10" s="15">
        <f>IFERROR(VLOOKUP(A10,'Count of Providers as of Jan 18'!A:B,2,FALSE),0)</f>
        <v>15</v>
      </c>
      <c r="W10" s="32">
        <f t="shared" si="2"/>
        <v>-0.26706282260177261</v>
      </c>
    </row>
    <row r="11" spans="1:23">
      <c r="A11" s="16" t="s">
        <v>49</v>
      </c>
      <c r="B11" s="17" t="s">
        <v>50</v>
      </c>
      <c r="C11" s="17" t="s">
        <v>50</v>
      </c>
      <c r="D11" s="17">
        <f>VLOOKUP(A11,'[2]2017'!$B:$I,8,FALSE)</f>
        <v>0</v>
      </c>
      <c r="E11" s="18">
        <f t="shared" si="3"/>
        <v>0</v>
      </c>
      <c r="F11" s="19">
        <v>5</v>
      </c>
      <c r="G11" s="17" t="s">
        <v>50</v>
      </c>
      <c r="H11" s="17">
        <f>VLOOKUP(A11,'[2]2017'!$B:$D,3,FALSE)</f>
        <v>7</v>
      </c>
      <c r="I11" s="20">
        <f t="shared" si="4"/>
        <v>6</v>
      </c>
      <c r="J11" s="21" t="s">
        <v>51</v>
      </c>
      <c r="K11" s="22" t="s">
        <v>50</v>
      </c>
      <c r="L11" s="22" t="s">
        <v>50</v>
      </c>
      <c r="M11" s="22">
        <v>430705</v>
      </c>
      <c r="N11" s="22">
        <f t="shared" si="0"/>
        <v>430705</v>
      </c>
      <c r="O11" s="17">
        <v>6</v>
      </c>
      <c r="P11" s="17" t="s">
        <v>50</v>
      </c>
      <c r="Q11" s="17">
        <v>10</v>
      </c>
      <c r="R11" s="20">
        <f t="shared" si="1"/>
        <v>8</v>
      </c>
      <c r="S11" s="23">
        <v>48.44332570556827</v>
      </c>
      <c r="T11" s="63" t="s">
        <v>236</v>
      </c>
      <c r="U11" s="33">
        <f>IF(T11="Change",INDEX('FY21 wRVU Changes'!$E:$E,MATCH(Specialty!J11,'FY21 wRVU Changes'!$C:$C,0)),INDEX('Specialty Lookup'!$B:$B,MATCH(Specialty!J11,'Specialty Lookup'!$A:$A,0)))</f>
        <v>49.78</v>
      </c>
      <c r="V11" s="15">
        <f>IFERROR(VLOOKUP(A11,'Count of Providers as of Jan 18'!A:B,2,FALSE),0)</f>
        <v>0</v>
      </c>
      <c r="W11" s="32">
        <f t="shared" si="2"/>
        <v>-1.3366742944317309</v>
      </c>
    </row>
    <row r="12" spans="1:23">
      <c r="A12" s="16" t="s">
        <v>51</v>
      </c>
      <c r="B12" s="17">
        <v>18678</v>
      </c>
      <c r="C12" s="17" t="s">
        <v>50</v>
      </c>
      <c r="D12" s="17">
        <f>VLOOKUP(A12,'[2]2017'!$B:$I,8,FALSE)</f>
        <v>21157</v>
      </c>
      <c r="E12" s="18">
        <f t="shared" si="3"/>
        <v>19917.5</v>
      </c>
      <c r="F12" s="19">
        <v>14</v>
      </c>
      <c r="G12" s="17">
        <v>9</v>
      </c>
      <c r="H12" s="17">
        <f>VLOOKUP(A12,'[2]2017'!$B:$D,3,FALSE)</f>
        <v>12</v>
      </c>
      <c r="I12" s="20">
        <f t="shared" si="4"/>
        <v>11.666666666666666</v>
      </c>
      <c r="J12" s="21" t="s">
        <v>52</v>
      </c>
      <c r="K12" s="22">
        <v>749346</v>
      </c>
      <c r="L12" s="22">
        <v>621084</v>
      </c>
      <c r="M12" s="22">
        <v>717511</v>
      </c>
      <c r="N12" s="22">
        <f t="shared" si="0"/>
        <v>695980.33333333337</v>
      </c>
      <c r="O12" s="17">
        <v>20</v>
      </c>
      <c r="P12" s="17">
        <v>13</v>
      </c>
      <c r="Q12" s="17">
        <v>20</v>
      </c>
      <c r="R12" s="20">
        <f t="shared" si="1"/>
        <v>17.666666666666668</v>
      </c>
      <c r="S12" s="23">
        <v>48.44332570556827</v>
      </c>
      <c r="U12" s="33">
        <f>IF(T12="Change",INDEX('FY21 wRVU Changes'!$E:$E,MATCH(Specialty!J12,'FY21 wRVU Changes'!$C:$C,0)),INDEX('Specialty Lookup'!$B:$B,MATCH(Specialty!J12,'Specialty Lookup'!$A:$A,0)))</f>
        <v>35.926824212271974</v>
      </c>
      <c r="V12" s="15">
        <f>IFERROR(VLOOKUP(A12,'Count of Providers as of Jan 18'!A:B,2,FALSE),0)</f>
        <v>2</v>
      </c>
      <c r="W12" s="32">
        <f t="shared" si="2"/>
        <v>12.516501493296296</v>
      </c>
    </row>
    <row r="13" spans="1:23">
      <c r="A13" s="16" t="s">
        <v>52</v>
      </c>
      <c r="B13" s="17">
        <v>8039</v>
      </c>
      <c r="C13" s="17">
        <v>8580</v>
      </c>
      <c r="D13" s="17">
        <f>VLOOKUP(A13,'[2]2017'!$B:$I,8,FALSE)</f>
        <v>8382</v>
      </c>
      <c r="E13" s="18">
        <f t="shared" si="3"/>
        <v>8333.6666666666661</v>
      </c>
      <c r="F13" s="19">
        <v>193</v>
      </c>
      <c r="G13" s="17">
        <v>189</v>
      </c>
      <c r="H13" s="17">
        <f>VLOOKUP(A13,'[2]2017'!$B:$D,3,FALSE)</f>
        <v>275</v>
      </c>
      <c r="I13" s="20">
        <f t="shared" si="4"/>
        <v>219</v>
      </c>
      <c r="J13" s="21" t="s">
        <v>53</v>
      </c>
      <c r="K13" s="22">
        <v>269200</v>
      </c>
      <c r="L13" s="22">
        <v>265511</v>
      </c>
      <c r="M13" s="22">
        <v>275180</v>
      </c>
      <c r="N13" s="22">
        <f t="shared" si="0"/>
        <v>269963.66666666669</v>
      </c>
      <c r="O13" s="17">
        <v>523</v>
      </c>
      <c r="P13" s="17">
        <v>361</v>
      </c>
      <c r="Q13" s="17">
        <v>504</v>
      </c>
      <c r="R13" s="20">
        <f t="shared" si="1"/>
        <v>462.66666666666669</v>
      </c>
      <c r="S13" s="23">
        <v>33.492738464014167</v>
      </c>
      <c r="U13" s="33">
        <f>IF(T13="Change",INDEX('FY21 wRVU Changes'!$E:$E,MATCH(Specialty!J13,'FY21 wRVU Changes'!$C:$C,0)),INDEX('Specialty Lookup'!$B:$B,MATCH(Specialty!J13,'Specialty Lookup'!$A:$A,0)))</f>
        <v>49.463542506855944</v>
      </c>
      <c r="V13" s="15">
        <f>IFERROR(VLOOKUP(A13,'Count of Providers as of Jan 18'!A:B,2,FALSE),0)</f>
        <v>41</v>
      </c>
      <c r="W13" s="32">
        <f t="shared" si="2"/>
        <v>-15.970804042841777</v>
      </c>
    </row>
    <row r="14" spans="1:23">
      <c r="A14" s="16" t="s">
        <v>53</v>
      </c>
      <c r="B14" s="17">
        <v>4036</v>
      </c>
      <c r="C14" s="17">
        <v>4121</v>
      </c>
      <c r="D14" s="17">
        <f>VLOOKUP(A14,'[2]2017'!$B:$I,8,FALSE)</f>
        <v>4103</v>
      </c>
      <c r="E14" s="18">
        <f t="shared" si="3"/>
        <v>4086.6666666666665</v>
      </c>
      <c r="F14" s="19">
        <v>69</v>
      </c>
      <c r="G14" s="17">
        <v>63</v>
      </c>
      <c r="H14" s="17">
        <f>VLOOKUP(A14,'[2]2017'!$B:$D,3,FALSE)</f>
        <v>51</v>
      </c>
      <c r="I14" s="20">
        <f t="shared" si="4"/>
        <v>61</v>
      </c>
      <c r="J14" s="21" t="s">
        <v>54</v>
      </c>
      <c r="K14" s="22">
        <v>192301</v>
      </c>
      <c r="L14" s="22">
        <v>193123</v>
      </c>
      <c r="M14" s="22">
        <v>197819</v>
      </c>
      <c r="N14" s="22">
        <f t="shared" si="0"/>
        <v>194414.33333333334</v>
      </c>
      <c r="O14" s="17">
        <v>228</v>
      </c>
      <c r="P14" s="17">
        <v>168</v>
      </c>
      <c r="Q14" s="17">
        <v>181</v>
      </c>
      <c r="R14" s="20">
        <f t="shared" si="1"/>
        <v>192.33333333333334</v>
      </c>
      <c r="S14" s="23">
        <v>48.949585971748661</v>
      </c>
      <c r="U14" s="33">
        <f>IF(T14="Change",INDEX('FY21 wRVU Changes'!$E:$E,MATCH(Specialty!J14,'FY21 wRVU Changes'!$C:$C,0)),INDEX('Specialty Lookup'!$B:$B,MATCH(Specialty!J14,'Specialty Lookup'!$A:$A,0)))</f>
        <v>39.849201806271068</v>
      </c>
      <c r="V14" s="15">
        <f>IFERROR(VLOOKUP(A14,'Count of Providers as of Jan 18'!A:B,2,FALSE),0)</f>
        <v>14</v>
      </c>
      <c r="W14" s="32">
        <f t="shared" si="2"/>
        <v>9.1003841654775925</v>
      </c>
    </row>
    <row r="15" spans="1:23">
      <c r="A15" s="16" t="s">
        <v>54</v>
      </c>
      <c r="B15" s="17">
        <v>5430</v>
      </c>
      <c r="C15" s="17">
        <v>4601</v>
      </c>
      <c r="D15" s="17">
        <f>VLOOKUP(A15,'[2]2017'!$B:$I,8,FALSE)</f>
        <v>5343</v>
      </c>
      <c r="E15" s="18">
        <f t="shared" si="3"/>
        <v>5124.666666666667</v>
      </c>
      <c r="F15" s="19">
        <v>47</v>
      </c>
      <c r="G15" s="17">
        <v>21</v>
      </c>
      <c r="H15" s="17">
        <f>VLOOKUP(A15,'[2]2017'!$B:$D,3,FALSE)</f>
        <v>71</v>
      </c>
      <c r="I15" s="20">
        <f t="shared" si="4"/>
        <v>46.333333333333336</v>
      </c>
      <c r="J15" s="21" t="s">
        <v>55</v>
      </c>
      <c r="K15" s="22">
        <v>192717</v>
      </c>
      <c r="L15" s="22">
        <v>195431</v>
      </c>
      <c r="M15" s="22">
        <v>193360</v>
      </c>
      <c r="N15" s="22">
        <f t="shared" si="0"/>
        <v>193836</v>
      </c>
      <c r="O15" s="17">
        <v>113</v>
      </c>
      <c r="P15" s="17">
        <v>56</v>
      </c>
      <c r="Q15" s="17">
        <v>131</v>
      </c>
      <c r="R15" s="20">
        <f t="shared" si="1"/>
        <v>100</v>
      </c>
      <c r="S15" s="23">
        <v>39.409777138749106</v>
      </c>
      <c r="U15" s="33">
        <f>IF(T15="Change",INDEX('FY21 wRVU Changes'!$E:$E,MATCH(Specialty!J15,'FY21 wRVU Changes'!$C:$C,0)),INDEX('Specialty Lookup'!$B:$B,MATCH(Specialty!J15,'Specialty Lookup'!$A:$A,0)))</f>
        <v>42.074456061034191</v>
      </c>
      <c r="V15" s="15">
        <f>IFERROR(VLOOKUP(A15,'Count of Providers as of Jan 18'!A:B,2,FALSE),0)</f>
        <v>9</v>
      </c>
      <c r="W15" s="32">
        <f t="shared" si="2"/>
        <v>-2.6646789222850842</v>
      </c>
    </row>
    <row r="16" spans="1:23">
      <c r="A16" s="16" t="s">
        <v>55</v>
      </c>
      <c r="B16" s="17">
        <v>4282</v>
      </c>
      <c r="C16" s="17">
        <v>4930</v>
      </c>
      <c r="D16" s="17">
        <f>VLOOKUP(A16,'[2]2017'!$B:$I,8,FALSE)</f>
        <v>4770</v>
      </c>
      <c r="E16" s="18">
        <f t="shared" si="3"/>
        <v>4660.666666666667</v>
      </c>
      <c r="F16" s="19">
        <v>98</v>
      </c>
      <c r="G16" s="17">
        <v>87</v>
      </c>
      <c r="H16" s="17">
        <f>VLOOKUP(A16,'[2]2017'!$B:$D,3,FALSE)</f>
        <v>152</v>
      </c>
      <c r="I16" s="20">
        <f t="shared" si="4"/>
        <v>112.33333333333333</v>
      </c>
      <c r="J16" s="21" t="s">
        <v>56</v>
      </c>
      <c r="K16" s="22">
        <v>188091</v>
      </c>
      <c r="L16" s="22">
        <v>184409</v>
      </c>
      <c r="M16" s="22">
        <v>182776</v>
      </c>
      <c r="N16" s="22">
        <f t="shared" si="0"/>
        <v>185092</v>
      </c>
      <c r="O16" s="17">
        <v>334</v>
      </c>
      <c r="P16" s="17">
        <v>184</v>
      </c>
      <c r="Q16" s="17">
        <v>300</v>
      </c>
      <c r="R16" s="20">
        <f t="shared" si="1"/>
        <v>272.66666666666669</v>
      </c>
      <c r="S16" s="23">
        <v>38.37639348692656</v>
      </c>
      <c r="U16" s="33">
        <f>IF(T16="Change",INDEX('FY21 wRVU Changes'!$E:$E,MATCH(Specialty!J16,'FY21 wRVU Changes'!$C:$C,0)),INDEX('Specialty Lookup'!$B:$B,MATCH(Specialty!J16,'Specialty Lookup'!$A:$A,0)))</f>
        <v>50.603953468031136</v>
      </c>
      <c r="V16" s="15">
        <f>IFERROR(VLOOKUP(A16,'Count of Providers as of Jan 18'!A:B,2,FALSE),0)</f>
        <v>49</v>
      </c>
      <c r="W16" s="32">
        <f t="shared" si="2"/>
        <v>-12.227559981104577</v>
      </c>
    </row>
    <row r="17" spans="1:23">
      <c r="A17" s="16" t="s">
        <v>56</v>
      </c>
      <c r="B17" s="17" t="s">
        <v>50</v>
      </c>
      <c r="C17" s="17">
        <v>4531</v>
      </c>
      <c r="D17" s="17">
        <f>VLOOKUP(A17,'[2]2017'!$B:$I,8,FALSE)</f>
        <v>0</v>
      </c>
      <c r="E17" s="18">
        <f t="shared" si="3"/>
        <v>2265.5</v>
      </c>
      <c r="F17" s="17" t="s">
        <v>50</v>
      </c>
      <c r="G17" s="17">
        <v>11</v>
      </c>
      <c r="H17" s="17">
        <f>VLOOKUP(A17,'[2]2017'!$B:$D,3,FALSE)</f>
        <v>9</v>
      </c>
      <c r="I17" s="20">
        <f t="shared" si="4"/>
        <v>10</v>
      </c>
      <c r="J17" s="21" t="s">
        <v>57</v>
      </c>
      <c r="K17" s="22" t="s">
        <v>50</v>
      </c>
      <c r="L17" s="22">
        <v>163097</v>
      </c>
      <c r="M17" s="22">
        <v>158681</v>
      </c>
      <c r="N17" s="22">
        <f t="shared" si="0"/>
        <v>160889</v>
      </c>
      <c r="O17" s="17">
        <v>9</v>
      </c>
      <c r="P17" s="17">
        <v>13</v>
      </c>
      <c r="Q17" s="17">
        <v>12</v>
      </c>
      <c r="R17" s="20">
        <f t="shared" si="1"/>
        <v>11.333333333333334</v>
      </c>
      <c r="S17" s="23">
        <v>38.37639348692656</v>
      </c>
      <c r="T17" s="63" t="s">
        <v>236</v>
      </c>
      <c r="U17" s="33">
        <f>IF(T17="Change",INDEX('FY21 wRVU Changes'!$E:$E,MATCH(Specialty!J17,'FY21 wRVU Changes'!$C:$C,0)),INDEX('Specialty Lookup'!$B:$B,MATCH(Specialty!J17,'Specialty Lookup'!$A:$A,0)))</f>
        <v>43.34</v>
      </c>
      <c r="V17" s="15">
        <f>IFERROR(VLOOKUP(A17,'Count of Providers as of Jan 18'!A:B,2,FALSE),0)</f>
        <v>0</v>
      </c>
      <c r="W17" s="32">
        <f t="shared" si="2"/>
        <v>-4.9636065130734437</v>
      </c>
    </row>
    <row r="18" spans="1:23">
      <c r="A18" s="16" t="s">
        <v>57</v>
      </c>
      <c r="B18" s="17">
        <v>4560</v>
      </c>
      <c r="C18" s="17">
        <v>4187</v>
      </c>
      <c r="D18" s="17">
        <f>VLOOKUP(A18,'[2]2017'!$B:$I,8,FALSE)</f>
        <v>5543</v>
      </c>
      <c r="E18" s="18">
        <f t="shared" si="3"/>
        <v>4763.333333333333</v>
      </c>
      <c r="F18" s="19">
        <v>12</v>
      </c>
      <c r="G18" s="17">
        <v>13</v>
      </c>
      <c r="H18" s="17">
        <f>VLOOKUP(A18,'[2]2017'!$B:$D,3,FALSE)</f>
        <v>14</v>
      </c>
      <c r="I18" s="20">
        <f t="shared" si="4"/>
        <v>13</v>
      </c>
      <c r="J18" s="21" t="s">
        <v>58</v>
      </c>
      <c r="K18" s="22">
        <v>184207</v>
      </c>
      <c r="L18" s="22">
        <v>185792</v>
      </c>
      <c r="M18" s="22">
        <v>184397</v>
      </c>
      <c r="N18" s="22">
        <f t="shared" si="0"/>
        <v>184798.66666666666</v>
      </c>
      <c r="O18" s="17">
        <v>22</v>
      </c>
      <c r="P18" s="17">
        <v>17</v>
      </c>
      <c r="Q18" s="17">
        <v>27</v>
      </c>
      <c r="R18" s="20">
        <f t="shared" si="1"/>
        <v>22</v>
      </c>
      <c r="S18" s="23">
        <v>38.37639348692656</v>
      </c>
      <c r="U18" s="33">
        <f>IF(T18="Change",INDEX('FY21 wRVU Changes'!$E:$E,MATCH(Specialty!J18,'FY21 wRVU Changes'!$C:$C,0)),INDEX('Specialty Lookup'!$B:$B,MATCH(Specialty!J18,'Specialty Lookup'!$A:$A,0)))</f>
        <v>45.092433039895113</v>
      </c>
      <c r="V18" s="15">
        <f>IFERROR(VLOOKUP(A18,'Count of Providers as of Jan 18'!A:B,2,FALSE),0)</f>
        <v>2</v>
      </c>
      <c r="W18" s="32">
        <f t="shared" si="2"/>
        <v>-6.716039552968553</v>
      </c>
    </row>
    <row r="19" spans="1:23">
      <c r="A19" s="16" t="s">
        <v>58</v>
      </c>
      <c r="B19" s="17">
        <v>6445</v>
      </c>
      <c r="C19" s="17">
        <v>6653</v>
      </c>
      <c r="D19" s="17">
        <f>VLOOKUP(A19,'[2]2017'!$B:$I,8,FALSE)</f>
        <v>7920</v>
      </c>
      <c r="E19" s="18">
        <f t="shared" si="3"/>
        <v>7006</v>
      </c>
      <c r="F19" s="19">
        <v>145</v>
      </c>
      <c r="G19" s="17">
        <v>96</v>
      </c>
      <c r="H19" s="17">
        <f>VLOOKUP(A19,'[2]2017'!$B:$D,3,FALSE)</f>
        <v>120</v>
      </c>
      <c r="I19" s="20">
        <f t="shared" si="4"/>
        <v>120.33333333333333</v>
      </c>
      <c r="J19" s="21" t="s">
        <v>59</v>
      </c>
      <c r="K19" s="22">
        <v>300000</v>
      </c>
      <c r="L19" s="22">
        <v>282574</v>
      </c>
      <c r="M19" s="22">
        <v>324950</v>
      </c>
      <c r="N19" s="22">
        <f t="shared" si="0"/>
        <v>302508</v>
      </c>
      <c r="O19" s="17">
        <v>317</v>
      </c>
      <c r="P19" s="17">
        <v>226</v>
      </c>
      <c r="Q19" s="17">
        <v>246</v>
      </c>
      <c r="R19" s="20">
        <f t="shared" si="1"/>
        <v>263</v>
      </c>
      <c r="S19" s="23">
        <v>43.242008062248054</v>
      </c>
      <c r="U19" s="33">
        <f>IF(T19="Change",INDEX('FY21 wRVU Changes'!$E:$E,MATCH(Specialty!J19,'FY21 wRVU Changes'!$C:$C,0)),INDEX('Specialty Lookup'!$B:$B,MATCH(Specialty!J19,'Specialty Lookup'!$A:$A,0)))</f>
        <v>71.054285372276752</v>
      </c>
      <c r="V19" s="15">
        <f>IFERROR(VLOOKUP(A19,'Count of Providers as of Jan 18'!A:B,2,FALSE),0)</f>
        <v>26</v>
      </c>
      <c r="W19" s="32">
        <f t="shared" si="2"/>
        <v>-27.812277310028698</v>
      </c>
    </row>
    <row r="20" spans="1:23">
      <c r="A20" s="16" t="s">
        <v>59</v>
      </c>
      <c r="B20" s="17">
        <v>4756</v>
      </c>
      <c r="C20" s="17">
        <v>6894</v>
      </c>
      <c r="D20" s="17">
        <f>VLOOKUP(A20,'[2]2017'!$B:$I,8,FALSE)</f>
        <v>5433</v>
      </c>
      <c r="E20" s="18">
        <f t="shared" si="3"/>
        <v>5694.333333333333</v>
      </c>
      <c r="F20" s="19">
        <v>26</v>
      </c>
      <c r="G20" s="17">
        <v>19</v>
      </c>
      <c r="H20" s="17">
        <f>VLOOKUP(A20,'[2]2017'!$B:$D,3,FALSE)</f>
        <v>13</v>
      </c>
      <c r="I20" s="20">
        <f t="shared" si="4"/>
        <v>19.333333333333332</v>
      </c>
      <c r="J20" s="21" t="s">
        <v>60</v>
      </c>
      <c r="K20" s="22">
        <v>284385</v>
      </c>
      <c r="L20" s="22">
        <v>324456</v>
      </c>
      <c r="M20" s="22">
        <v>327159</v>
      </c>
      <c r="N20" s="22">
        <f t="shared" si="0"/>
        <v>312000</v>
      </c>
      <c r="O20" s="17">
        <v>70</v>
      </c>
      <c r="P20" s="17">
        <v>52</v>
      </c>
      <c r="Q20" s="17">
        <v>60</v>
      </c>
      <c r="R20" s="20">
        <f t="shared" si="1"/>
        <v>60.666666666666664</v>
      </c>
      <c r="S20" s="23">
        <v>68.29835651074589</v>
      </c>
      <c r="T20" s="17" t="s">
        <v>236</v>
      </c>
      <c r="U20" s="33">
        <f>IF(T20="Change",INDEX('FY21 wRVU Changes'!$E:$E,MATCH(Specialty!J20,'FY21 wRVU Changes'!$C:$C,0)),INDEX('Specialty Lookup'!$B:$B,MATCH(Specialty!J20,'Specialty Lookup'!$A:$A,0)))</f>
        <v>105.09753872282609</v>
      </c>
      <c r="V20" s="15">
        <f>IFERROR(VLOOKUP(A20,'Count of Providers as of Jan 18'!A:B,2,FALSE),0)</f>
        <v>5</v>
      </c>
      <c r="W20" s="32">
        <f t="shared" si="2"/>
        <v>-36.799182212080197</v>
      </c>
    </row>
    <row r="21" spans="1:23">
      <c r="A21" s="16" t="s">
        <v>60</v>
      </c>
      <c r="B21" s="17" t="s">
        <v>50</v>
      </c>
      <c r="C21" s="17" t="s">
        <v>61</v>
      </c>
      <c r="D21" s="17">
        <f>VLOOKUP(A21,'[2]2017'!$B:$I,8,FALSE)</f>
        <v>0</v>
      </c>
      <c r="E21" s="18">
        <f t="shared" si="3"/>
        <v>0</v>
      </c>
      <c r="F21" s="19">
        <v>4</v>
      </c>
      <c r="G21" s="17" t="s">
        <v>50</v>
      </c>
      <c r="H21" s="17">
        <f>VLOOKUP(A21,'[2]2017'!$B:$D,3,FALSE)</f>
        <v>3</v>
      </c>
      <c r="I21" s="20">
        <f t="shared" si="4"/>
        <v>3.5</v>
      </c>
      <c r="J21" s="21" t="s">
        <v>62</v>
      </c>
      <c r="K21" s="22">
        <v>184313</v>
      </c>
      <c r="L21" s="22" t="s">
        <v>50</v>
      </c>
      <c r="M21" s="22">
        <v>170464</v>
      </c>
      <c r="N21" s="22">
        <f t="shared" si="0"/>
        <v>177388.5</v>
      </c>
      <c r="O21" s="17">
        <v>21</v>
      </c>
      <c r="P21" s="17">
        <v>8</v>
      </c>
      <c r="Q21" s="17">
        <v>16</v>
      </c>
      <c r="R21" s="20">
        <f t="shared" si="1"/>
        <v>15</v>
      </c>
      <c r="S21" s="23">
        <v>0</v>
      </c>
      <c r="U21" s="33">
        <f>IF(T21="Change",INDEX('FY21 wRVU Changes'!$E:$E,MATCH(Specialty!J21,'FY21 wRVU Changes'!$C:$C,0)),INDEX('Specialty Lookup'!$B:$B,MATCH(Specialty!J21,'Specialty Lookup'!$A:$A,0)))</f>
        <v>46.143169133705413</v>
      </c>
      <c r="V21" s="15">
        <f>IFERROR(VLOOKUP(A21,'Count of Providers as of Jan 18'!A:B,2,FALSE),0)</f>
        <v>0</v>
      </c>
      <c r="W21" s="32">
        <f t="shared" si="2"/>
        <v>-46.143169133705413</v>
      </c>
    </row>
    <row r="22" spans="1:23">
      <c r="A22" s="16" t="s">
        <v>62</v>
      </c>
      <c r="B22" s="17">
        <v>3707</v>
      </c>
      <c r="C22" s="17">
        <v>4239</v>
      </c>
      <c r="D22" s="17">
        <f>VLOOKUP(A22,'[2]2017'!$B:$I,8,FALSE)</f>
        <v>4584</v>
      </c>
      <c r="E22" s="18">
        <f t="shared" si="3"/>
        <v>4176.666666666667</v>
      </c>
      <c r="F22" s="19">
        <v>39</v>
      </c>
      <c r="G22" s="17">
        <v>46</v>
      </c>
      <c r="H22" s="17">
        <f>VLOOKUP(A22,'[2]2017'!$B:$D,3,FALSE)</f>
        <v>35</v>
      </c>
      <c r="I22" s="20">
        <f t="shared" si="4"/>
        <v>40</v>
      </c>
      <c r="J22" s="21" t="s">
        <v>63</v>
      </c>
      <c r="K22" s="22">
        <v>184400</v>
      </c>
      <c r="L22" s="22">
        <v>173814</v>
      </c>
      <c r="M22" s="22">
        <v>181932</v>
      </c>
      <c r="N22" s="22">
        <f t="shared" si="0"/>
        <v>180048.66666666666</v>
      </c>
      <c r="O22" s="17">
        <v>131</v>
      </c>
      <c r="P22" s="17">
        <v>86</v>
      </c>
      <c r="Q22" s="17">
        <v>80</v>
      </c>
      <c r="R22" s="20">
        <f t="shared" si="1"/>
        <v>99</v>
      </c>
      <c r="S22" s="23">
        <v>42.332515901601653</v>
      </c>
      <c r="U22" s="33">
        <f>IF(T22="Change",INDEX('FY21 wRVU Changes'!$E:$E,MATCH(Specialty!J22,'FY21 wRVU Changes'!$C:$C,0)),INDEX('Specialty Lookup'!$B:$B,MATCH(Specialty!J22,'Specialty Lookup'!$A:$A,0)))</f>
        <v>58.929033100476595</v>
      </c>
      <c r="V22" s="15">
        <f>IFERROR(VLOOKUP(A22,'Count of Providers as of Jan 18'!A:B,2,FALSE),0)</f>
        <v>11</v>
      </c>
      <c r="W22" s="32">
        <f t="shared" si="2"/>
        <v>-16.596517198874942</v>
      </c>
    </row>
    <row r="23" spans="1:23">
      <c r="A23" s="16" t="s">
        <v>63</v>
      </c>
      <c r="B23" s="17">
        <v>5292</v>
      </c>
      <c r="C23" s="17">
        <v>4889</v>
      </c>
      <c r="D23" s="17">
        <f>VLOOKUP(A23,'[2]2017'!$B:$I,8,FALSE)</f>
        <v>5771</v>
      </c>
      <c r="E23" s="18">
        <f t="shared" si="3"/>
        <v>5317.333333333333</v>
      </c>
      <c r="F23" s="19">
        <v>145</v>
      </c>
      <c r="G23" s="17">
        <v>132</v>
      </c>
      <c r="H23" s="17">
        <f>VLOOKUP(A23,'[2]2017'!$B:$D,3,FALSE)</f>
        <v>140</v>
      </c>
      <c r="I23" s="20">
        <f t="shared" si="4"/>
        <v>139</v>
      </c>
      <c r="J23" s="21" t="s">
        <v>64</v>
      </c>
      <c r="K23" s="22">
        <v>258845</v>
      </c>
      <c r="L23" s="22">
        <v>267326</v>
      </c>
      <c r="M23" s="22">
        <v>290111</v>
      </c>
      <c r="N23" s="22">
        <f t="shared" si="0"/>
        <v>272094</v>
      </c>
      <c r="O23" s="17">
        <v>390</v>
      </c>
      <c r="P23" s="17">
        <v>276</v>
      </c>
      <c r="Q23" s="17">
        <v>360</v>
      </c>
      <c r="R23" s="20">
        <f t="shared" si="1"/>
        <v>342</v>
      </c>
      <c r="S23" s="23">
        <v>55.874173027989826</v>
      </c>
      <c r="U23" s="33">
        <f>IF(T23="Change",INDEX('FY21 wRVU Changes'!$E:$E,MATCH(Specialty!J23,'FY21 wRVU Changes'!$C:$C,0)),INDEX('Specialty Lookup'!$B:$B,MATCH(Specialty!J23,'Specialty Lookup'!$A:$A,0)))</f>
        <v>52.671633438265133</v>
      </c>
      <c r="V23" s="15">
        <f>IFERROR(VLOOKUP(A23,'Count of Providers as of Jan 18'!A:B,2,FALSE),0)</f>
        <v>52</v>
      </c>
      <c r="W23" s="32">
        <f t="shared" si="2"/>
        <v>3.2025395897246938</v>
      </c>
    </row>
    <row r="24" spans="1:23">
      <c r="A24" s="16" t="s">
        <v>64</v>
      </c>
      <c r="B24" s="17">
        <v>5028</v>
      </c>
      <c r="C24" s="17">
        <v>4515</v>
      </c>
      <c r="D24" s="17">
        <f>VLOOKUP(A24,'[2]2017'!$B:$I,8,FALSE)</f>
        <v>5188</v>
      </c>
      <c r="E24" s="18">
        <f t="shared" si="3"/>
        <v>4910.333333333333</v>
      </c>
      <c r="F24" s="19">
        <v>68</v>
      </c>
      <c r="G24" s="17">
        <v>27</v>
      </c>
      <c r="H24" s="17">
        <f>VLOOKUP(A24,'[2]2017'!$B:$D,3,FALSE)</f>
        <v>37</v>
      </c>
      <c r="I24" s="20">
        <f t="shared" si="4"/>
        <v>44</v>
      </c>
      <c r="J24" s="21" t="s">
        <v>65</v>
      </c>
      <c r="K24" s="22">
        <v>261539</v>
      </c>
      <c r="L24" s="22">
        <v>236790</v>
      </c>
      <c r="M24" s="22">
        <v>239368</v>
      </c>
      <c r="N24" s="22">
        <f t="shared" si="0"/>
        <v>245899</v>
      </c>
      <c r="O24" s="17">
        <v>184</v>
      </c>
      <c r="P24" s="17">
        <v>142</v>
      </c>
      <c r="Q24" s="17">
        <v>131</v>
      </c>
      <c r="R24" s="20">
        <f t="shared" si="1"/>
        <v>152.33333333333334</v>
      </c>
      <c r="S24" s="23">
        <v>50.275615458671439</v>
      </c>
      <c r="T24" s="63" t="s">
        <v>236</v>
      </c>
      <c r="U24" s="33">
        <f>IF(T24="Change",INDEX('FY21 wRVU Changes'!$E:$E,MATCH(Specialty!J24,'FY21 wRVU Changes'!$C:$C,0)),INDEX('Specialty Lookup'!$B:$B,MATCH(Specialty!J24,'Specialty Lookup'!$A:$A,0)))</f>
        <v>86.727322828282837</v>
      </c>
      <c r="V24" s="15">
        <f>IFERROR(VLOOKUP(A24,'Count of Providers as of Jan 18'!A:B,2,FALSE),0)</f>
        <v>0</v>
      </c>
      <c r="W24" s="32">
        <f t="shared" si="2"/>
        <v>-36.451707369611398</v>
      </c>
    </row>
    <row r="25" spans="1:23">
      <c r="A25" s="16" t="s">
        <v>65</v>
      </c>
      <c r="B25" s="17" t="s">
        <v>50</v>
      </c>
      <c r="C25" s="17">
        <v>2551</v>
      </c>
      <c r="D25" s="17">
        <f>VLOOKUP(A25,'[2]2017'!$B:$I,8,FALSE)</f>
        <v>0</v>
      </c>
      <c r="E25" s="18">
        <f t="shared" si="3"/>
        <v>1275.5</v>
      </c>
      <c r="F25" s="19">
        <v>9</v>
      </c>
      <c r="G25" s="17">
        <v>15</v>
      </c>
      <c r="H25" s="17">
        <f>VLOOKUP(A25,'[2]2017'!$B:$D,3,FALSE)</f>
        <v>7</v>
      </c>
      <c r="I25" s="20">
        <f t="shared" si="4"/>
        <v>10.333333333333334</v>
      </c>
      <c r="J25" s="21" t="s">
        <v>240</v>
      </c>
      <c r="K25" s="22" t="s">
        <v>50</v>
      </c>
      <c r="L25" s="22">
        <v>161150</v>
      </c>
      <c r="M25" s="22">
        <v>197418</v>
      </c>
      <c r="N25" s="22">
        <f t="shared" si="0"/>
        <v>179284</v>
      </c>
      <c r="O25" s="17">
        <v>11</v>
      </c>
      <c r="P25" s="17">
        <v>20</v>
      </c>
      <c r="Q25" s="17">
        <v>24</v>
      </c>
      <c r="R25" s="20">
        <f t="shared" si="1"/>
        <v>18.333333333333332</v>
      </c>
      <c r="S25" s="23">
        <v>0</v>
      </c>
      <c r="T25" s="63"/>
      <c r="U25" s="33">
        <f>IF(T25="Change",INDEX('FY21 wRVU Changes'!$E:$E,MATCH(Specialty!J25,'FY21 wRVU Changes'!$C:$C,0)),INDEX('Specialty Lookup'!$B:$B,MATCH(Specialty!J25,'Specialty Lookup'!$A:$A,0)))</f>
        <v>71.271864808775575</v>
      </c>
      <c r="V25" s="15">
        <f>IFERROR(VLOOKUP(A25,'Count of Providers as of Jan 18'!A:B,2,FALSE),0)</f>
        <v>0</v>
      </c>
      <c r="W25" s="32">
        <f t="shared" si="2"/>
        <v>-71.271864808775575</v>
      </c>
    </row>
    <row r="26" spans="1:23">
      <c r="A26" s="16" t="s">
        <v>66</v>
      </c>
      <c r="B26" s="17">
        <v>3591</v>
      </c>
      <c r="C26" s="17">
        <v>4406</v>
      </c>
      <c r="D26" s="17">
        <f>VLOOKUP(A26,'[2]2017'!$B:$I,8,FALSE)</f>
        <v>3755</v>
      </c>
      <c r="E26" s="18">
        <f t="shared" si="3"/>
        <v>3917.3333333333335</v>
      </c>
      <c r="F26" s="19">
        <v>188</v>
      </c>
      <c r="G26" s="17">
        <v>157</v>
      </c>
      <c r="H26" s="17">
        <f>VLOOKUP(A26,'[2]2017'!$B:$D,3,FALSE)</f>
        <v>178</v>
      </c>
      <c r="I26" s="20">
        <f t="shared" si="4"/>
        <v>174.33333333333334</v>
      </c>
      <c r="J26" s="21" t="s">
        <v>66</v>
      </c>
      <c r="K26" s="22">
        <v>200000</v>
      </c>
      <c r="L26" s="22">
        <v>209286</v>
      </c>
      <c r="M26" s="22">
        <v>214417</v>
      </c>
      <c r="N26" s="22">
        <f t="shared" si="0"/>
        <v>207901</v>
      </c>
      <c r="O26" s="17">
        <v>399</v>
      </c>
      <c r="P26" s="17">
        <v>315</v>
      </c>
      <c r="Q26" s="17">
        <v>369</v>
      </c>
      <c r="R26" s="20">
        <f t="shared" si="1"/>
        <v>361</v>
      </c>
      <c r="S26" s="23">
        <v>55.608145106091719</v>
      </c>
      <c r="U26" s="33">
        <f>IF(T26="Change",INDEX('FY21 wRVU Changes'!$E:$E,MATCH(Specialty!J26,'FY21 wRVU Changes'!$C:$C,0)),INDEX('Specialty Lookup'!$B:$B,MATCH(Specialty!J26,'Specialty Lookup'!$A:$A,0)))</f>
        <v>61.766183396435501</v>
      </c>
      <c r="V26" s="15">
        <f>IFERROR(VLOOKUP(A26,'Count of Providers as of Jan 18'!A:B,2,FALSE),0)</f>
        <v>37</v>
      </c>
      <c r="W26" s="32">
        <f t="shared" si="2"/>
        <v>-6.1580382903437823</v>
      </c>
    </row>
    <row r="27" spans="1:23">
      <c r="A27" s="16" t="s">
        <v>67</v>
      </c>
      <c r="B27" s="17">
        <v>3822</v>
      </c>
      <c r="C27" s="17">
        <v>4567</v>
      </c>
      <c r="D27" s="17">
        <f>VLOOKUP(A27,'[2]2017'!$B:$I,8,FALSE)</f>
        <v>3777</v>
      </c>
      <c r="E27" s="18">
        <f t="shared" si="3"/>
        <v>4055.3333333333335</v>
      </c>
      <c r="F27" s="19">
        <v>73</v>
      </c>
      <c r="G27" s="17">
        <v>60</v>
      </c>
      <c r="H27" s="17">
        <f>VLOOKUP(A27,'[2]2017'!$B:$D,3,FALSE)</f>
        <v>79</v>
      </c>
      <c r="I27" s="20">
        <f t="shared" si="4"/>
        <v>70.666666666666671</v>
      </c>
      <c r="J27" s="21" t="s">
        <v>252</v>
      </c>
      <c r="K27" s="22"/>
      <c r="L27" s="22"/>
      <c r="M27" s="22"/>
      <c r="N27" s="22"/>
      <c r="O27" s="17"/>
      <c r="P27" s="17"/>
      <c r="Q27" s="17"/>
      <c r="R27" s="20"/>
      <c r="S27" s="23"/>
      <c r="T27" s="63" t="s">
        <v>236</v>
      </c>
      <c r="U27" s="33">
        <f>IF(T27="Change",INDEX('FY21 wRVU Changes'!$E:$E,MATCH(Specialty!J27,'FY21 wRVU Changes'!$C:$C,0)),INDEX('Specialty Lookup'!$B:$B,MATCH(Specialty!J27,'Specialty Lookup'!$A:$A,0)))</f>
        <v>88.896599128899368</v>
      </c>
      <c r="W27" s="32"/>
    </row>
    <row r="28" spans="1:23">
      <c r="A28" s="16" t="s">
        <v>68</v>
      </c>
      <c r="B28" s="17" t="s">
        <v>50</v>
      </c>
      <c r="C28" s="17" t="s">
        <v>50</v>
      </c>
      <c r="D28" s="17">
        <f>VLOOKUP(A28,'[2]2017'!$B:$I,8,FALSE)</f>
        <v>4621</v>
      </c>
      <c r="E28" s="18">
        <f t="shared" si="3"/>
        <v>4621</v>
      </c>
      <c r="F28" s="17" t="s">
        <v>50</v>
      </c>
      <c r="G28" s="17">
        <v>1</v>
      </c>
      <c r="H28" s="17">
        <f>VLOOKUP(A28,'[2]2017'!$B:$D,3,FALSE)</f>
        <v>26</v>
      </c>
      <c r="I28" s="20">
        <f t="shared" si="4"/>
        <v>13.5</v>
      </c>
      <c r="J28" s="21" t="s">
        <v>67</v>
      </c>
      <c r="K28" s="22"/>
      <c r="L28" s="22"/>
      <c r="M28" s="22"/>
      <c r="N28" s="22"/>
      <c r="O28" s="17"/>
      <c r="P28" s="17"/>
      <c r="Q28" s="17"/>
      <c r="R28" s="20"/>
      <c r="S28" s="23"/>
      <c r="T28" s="63"/>
      <c r="U28" s="33">
        <f>IF(T28="Change",INDEX('FY21 wRVU Changes'!$E:$E,MATCH(Specialty!J28,'FY21 wRVU Changes'!$C:$C,0)),INDEX('Specialty Lookup'!$B:$B,MATCH(Specialty!J28,'Specialty Lookup'!$A:$A,0)))</f>
        <v>52.612781954887218</v>
      </c>
      <c r="W28" s="32"/>
    </row>
    <row r="29" spans="1:23">
      <c r="A29" s="16" t="s">
        <v>69</v>
      </c>
      <c r="B29" s="17">
        <v>3822</v>
      </c>
      <c r="C29" s="17">
        <v>3959</v>
      </c>
      <c r="D29" s="17">
        <f>VLOOKUP(A29,'[2]2017'!$B:$I,8,FALSE)</f>
        <v>4149</v>
      </c>
      <c r="E29" s="18">
        <f t="shared" si="3"/>
        <v>3976.6666666666665</v>
      </c>
      <c r="F29" s="19">
        <v>440</v>
      </c>
      <c r="G29" s="17">
        <v>228</v>
      </c>
      <c r="H29" s="17">
        <f>VLOOKUP(A29,'[2]2017'!$B:$D,3,FALSE)</f>
        <v>264</v>
      </c>
      <c r="I29" s="20">
        <f t="shared" si="4"/>
        <v>310.66666666666669</v>
      </c>
      <c r="J29" s="21" t="s">
        <v>68</v>
      </c>
      <c r="K29" s="22">
        <v>180338</v>
      </c>
      <c r="L29" s="22">
        <v>183420</v>
      </c>
      <c r="M29" s="22">
        <v>175267</v>
      </c>
      <c r="N29" s="22">
        <f t="shared" si="0"/>
        <v>179675</v>
      </c>
      <c r="O29" s="17">
        <v>281</v>
      </c>
      <c r="P29" s="17">
        <v>207</v>
      </c>
      <c r="Q29" s="17">
        <v>277</v>
      </c>
      <c r="R29" s="20">
        <f t="shared" si="1"/>
        <v>255</v>
      </c>
      <c r="S29" s="23">
        <v>47.664369400413506</v>
      </c>
      <c r="U29" s="33">
        <f>IF(T29="Change",INDEX('FY21 wRVU Changes'!$E:$E,MATCH(Specialty!J29,'FY21 wRVU Changes'!$C:$C,0)),INDEX('Specialty Lookup'!$B:$B,MATCH(Specialty!J29,'Specialty Lookup'!$A:$A,0)))</f>
        <v>46.74619848674061</v>
      </c>
      <c r="V29" s="15">
        <f>IFERROR(VLOOKUP(A27,'Count of Providers as of Jan 18'!A:B,2,FALSE),0)</f>
        <v>32</v>
      </c>
      <c r="W29" s="32">
        <f t="shared" si="2"/>
        <v>0.91817091367289549</v>
      </c>
    </row>
    <row r="30" spans="1:23">
      <c r="A30" s="16" t="s">
        <v>70</v>
      </c>
      <c r="B30" s="17">
        <v>6414</v>
      </c>
      <c r="C30" s="17">
        <v>6473</v>
      </c>
      <c r="D30" s="17">
        <f>VLOOKUP(A30,'[2]2017'!$B:$I,8,FALSE)</f>
        <v>7082</v>
      </c>
      <c r="E30" s="18">
        <f t="shared" si="3"/>
        <v>6656.333333333333</v>
      </c>
      <c r="F30" s="19">
        <v>90</v>
      </c>
      <c r="G30" s="17">
        <v>67</v>
      </c>
      <c r="H30" s="17">
        <f>VLOOKUP(A30,'[2]2017'!$B:$D,3,FALSE)</f>
        <v>90</v>
      </c>
      <c r="I30" s="20">
        <f t="shared" si="4"/>
        <v>82.333333333333329</v>
      </c>
      <c r="J30" s="21" t="s">
        <v>69</v>
      </c>
      <c r="K30" s="22" t="s">
        <v>50</v>
      </c>
      <c r="L30" s="22" t="s">
        <v>50</v>
      </c>
      <c r="M30" s="22">
        <v>204800</v>
      </c>
      <c r="N30" s="22">
        <f t="shared" si="0"/>
        <v>204800</v>
      </c>
      <c r="O30" s="17">
        <v>11</v>
      </c>
      <c r="P30" s="17">
        <v>5</v>
      </c>
      <c r="Q30" s="17">
        <v>33</v>
      </c>
      <c r="R30" s="20">
        <f t="shared" si="1"/>
        <v>16.333333333333332</v>
      </c>
      <c r="S30" s="23">
        <v>45.272547652254765</v>
      </c>
      <c r="U30" s="33">
        <f>IF(T30="Change",INDEX('FY21 wRVU Changes'!$E:$E,MATCH(Specialty!J30,'FY21 wRVU Changes'!$C:$C,0)),INDEX('Specialty Lookup'!$B:$B,MATCH(Specialty!J30,'Specialty Lookup'!$A:$A,0)))</f>
        <v>52.351845854922281</v>
      </c>
      <c r="V30" s="15">
        <f>IFERROR(VLOOKUP(A28,'Count of Providers as of Jan 18'!A:B,2,FALSE),0)</f>
        <v>0</v>
      </c>
      <c r="W30" s="32">
        <f t="shared" si="2"/>
        <v>-7.0792982026675162</v>
      </c>
    </row>
    <row r="31" spans="1:23">
      <c r="A31" s="16" t="s">
        <v>71</v>
      </c>
      <c r="B31" s="17">
        <v>4416</v>
      </c>
      <c r="C31" s="17">
        <v>4338</v>
      </c>
      <c r="D31" s="17">
        <f>VLOOKUP(A31,'[2]2017'!$B:$I,8,FALSE)</f>
        <v>4079</v>
      </c>
      <c r="E31" s="18">
        <f t="shared" si="3"/>
        <v>4277.666666666667</v>
      </c>
      <c r="F31" s="19">
        <v>172</v>
      </c>
      <c r="G31" s="17">
        <v>146</v>
      </c>
      <c r="H31" s="17">
        <f>VLOOKUP(A31,'[2]2017'!$B:$D,3,FALSE)</f>
        <v>216</v>
      </c>
      <c r="I31" s="20">
        <f t="shared" si="4"/>
        <v>178</v>
      </c>
      <c r="J31" s="21" t="s">
        <v>70</v>
      </c>
      <c r="K31" s="22">
        <v>193530</v>
      </c>
      <c r="L31" s="22">
        <v>191372</v>
      </c>
      <c r="M31" s="22">
        <v>202024</v>
      </c>
      <c r="N31" s="22">
        <f t="shared" si="0"/>
        <v>195642</v>
      </c>
      <c r="O31" s="17">
        <v>1061</v>
      </c>
      <c r="P31" s="17">
        <v>511</v>
      </c>
      <c r="Q31" s="17">
        <v>584</v>
      </c>
      <c r="R31" s="20">
        <f t="shared" si="1"/>
        <v>718.66666666666663</v>
      </c>
      <c r="S31" s="23">
        <v>50.842888688967037</v>
      </c>
      <c r="U31" s="33">
        <f>IF(T31="Change",INDEX('FY21 wRVU Changes'!$E:$E,MATCH(Specialty!J31,'FY21 wRVU Changes'!$C:$C,0)),INDEX('Specialty Lookup'!$B:$B,MATCH(Specialty!J31,'Specialty Lookup'!$A:$A,0)))</f>
        <v>35.664656890296868</v>
      </c>
      <c r="V31" s="15">
        <f>IFERROR(VLOOKUP(A29,'Count of Providers as of Jan 18'!A:B,2,FALSE),0)</f>
        <v>28</v>
      </c>
      <c r="W31" s="32">
        <f t="shared" si="2"/>
        <v>15.178231798670168</v>
      </c>
    </row>
    <row r="32" spans="1:23">
      <c r="A32" s="16" t="s">
        <v>72</v>
      </c>
      <c r="B32" s="17">
        <v>6150</v>
      </c>
      <c r="C32" s="17">
        <v>7281</v>
      </c>
      <c r="D32" s="17">
        <f>VLOOKUP(A32,'[2]2017'!$B:$I,8,FALSE)</f>
        <v>6532</v>
      </c>
      <c r="E32" s="18">
        <f t="shared" si="3"/>
        <v>6654.333333333333</v>
      </c>
      <c r="F32" s="19">
        <v>25</v>
      </c>
      <c r="G32" s="17">
        <v>16</v>
      </c>
      <c r="H32" s="17">
        <f>VLOOKUP(A32,'[2]2017'!$B:$D,3,FALSE)</f>
        <v>25</v>
      </c>
      <c r="I32" s="20">
        <f t="shared" si="4"/>
        <v>22</v>
      </c>
      <c r="J32" s="21" t="s">
        <v>219</v>
      </c>
      <c r="K32" s="22"/>
      <c r="L32" s="22"/>
      <c r="M32" s="22"/>
      <c r="N32" s="22"/>
      <c r="O32" s="17"/>
      <c r="P32" s="17"/>
      <c r="Q32" s="17"/>
      <c r="R32" s="20"/>
      <c r="S32" s="23"/>
      <c r="T32" s="63" t="s">
        <v>236</v>
      </c>
      <c r="U32" s="33">
        <f>IF(T32="Change",INDEX('FY21 wRVU Changes'!$E:$E,MATCH(Specialty!J32,'FY21 wRVU Changes'!$C:$C,0)),INDEX('Specialty Lookup'!$B:$B,MATCH(Specialty!J32,'Specialty Lookup'!$A:$A,0)))</f>
        <v>46.84</v>
      </c>
      <c r="W32" s="32"/>
    </row>
    <row r="33" spans="1:23">
      <c r="A33" s="16" t="s">
        <v>73</v>
      </c>
      <c r="B33" s="17">
        <v>3527</v>
      </c>
      <c r="C33" s="17">
        <v>4097</v>
      </c>
      <c r="D33" s="17">
        <f>VLOOKUP(A33,'[2]2017'!$B:$I,8,FALSE)</f>
        <v>4053</v>
      </c>
      <c r="E33" s="18">
        <f t="shared" si="3"/>
        <v>3892.3333333333335</v>
      </c>
      <c r="F33" s="19">
        <v>25</v>
      </c>
      <c r="G33" s="17">
        <v>20</v>
      </c>
      <c r="H33" s="17">
        <f>VLOOKUP(A33,'[2]2017'!$B:$D,3,FALSE)</f>
        <v>33</v>
      </c>
      <c r="I33" s="20">
        <f t="shared" si="4"/>
        <v>26</v>
      </c>
      <c r="J33" s="21" t="s">
        <v>71</v>
      </c>
      <c r="K33" s="22">
        <v>210588</v>
      </c>
      <c r="L33" s="22">
        <v>220846</v>
      </c>
      <c r="M33" s="22">
        <v>220489</v>
      </c>
      <c r="N33" s="22">
        <f t="shared" si="0"/>
        <v>217307.66666666666</v>
      </c>
      <c r="O33" s="17">
        <v>252</v>
      </c>
      <c r="P33" s="17">
        <v>190</v>
      </c>
      <c r="Q33" s="17">
        <v>226</v>
      </c>
      <c r="R33" s="20">
        <f t="shared" si="1"/>
        <v>222.66666666666666</v>
      </c>
      <c r="S33" s="23">
        <v>34.734616358571785</v>
      </c>
      <c r="U33" s="33">
        <f>IF(T33="Change",INDEX('FY21 wRVU Changes'!$E:$E,MATCH(Specialty!J33,'FY21 wRVU Changes'!$C:$C,0)),INDEX('Specialty Lookup'!$B:$B,MATCH(Specialty!J33,'Specialty Lookup'!$A:$A,0)))</f>
        <v>55.042945283325217</v>
      </c>
      <c r="V33" s="15">
        <f>IFERROR(VLOOKUP(A30,'Count of Providers as of Jan 18'!A:B,2,FALSE),0)</f>
        <v>26</v>
      </c>
      <c r="W33" s="32">
        <f t="shared" si="2"/>
        <v>-20.308328924753432</v>
      </c>
    </row>
    <row r="34" spans="1:23">
      <c r="A34" s="16" t="s">
        <v>74</v>
      </c>
      <c r="B34" s="17" t="s">
        <v>50</v>
      </c>
      <c r="C34" s="17" t="s">
        <v>50</v>
      </c>
      <c r="D34" s="17">
        <f>VLOOKUP(A34,'[2]2017'!$B:$I,8,FALSE)</f>
        <v>3533</v>
      </c>
      <c r="E34" s="18">
        <f t="shared" si="3"/>
        <v>3533</v>
      </c>
      <c r="F34" s="19">
        <v>9</v>
      </c>
      <c r="G34" s="17">
        <v>7</v>
      </c>
      <c r="H34" s="17">
        <f>VLOOKUP(A34,'[2]2017'!$B:$D,3,FALSE)</f>
        <v>18</v>
      </c>
      <c r="I34" s="20">
        <f t="shared" si="4"/>
        <v>11.333333333333334</v>
      </c>
      <c r="J34" s="21" t="s">
        <v>72</v>
      </c>
      <c r="K34" s="22"/>
      <c r="L34" s="22"/>
      <c r="M34" s="22"/>
      <c r="N34" s="22"/>
      <c r="O34" s="17"/>
      <c r="P34" s="17"/>
      <c r="Q34" s="17"/>
      <c r="R34" s="20"/>
      <c r="S34" s="23"/>
      <c r="T34" s="63" t="s">
        <v>236</v>
      </c>
      <c r="U34" s="33" t="e">
        <f>IF(T34="Change",INDEX('FY21 wRVU Changes'!$E:$E,MATCH(Specialty!J34,'FY21 wRVU Changes'!$C:$C,0)),INDEX('Specialty Lookup'!$B:$B,MATCH(Specialty!J34,'Specialty Lookup'!$A:$A,0)))</f>
        <v>#N/A</v>
      </c>
      <c r="W34" s="32"/>
    </row>
    <row r="35" spans="1:23">
      <c r="A35" s="16" t="s">
        <v>75</v>
      </c>
      <c r="B35" s="17">
        <v>6493</v>
      </c>
      <c r="C35" s="17">
        <v>6853</v>
      </c>
      <c r="D35" s="17">
        <f>VLOOKUP(A35,'[2]2017'!$B:$I,8,FALSE)</f>
        <v>6420</v>
      </c>
      <c r="E35" s="18">
        <f t="shared" si="3"/>
        <v>6588.666666666667</v>
      </c>
      <c r="F35" s="19">
        <v>38</v>
      </c>
      <c r="G35" s="17">
        <v>13</v>
      </c>
      <c r="H35" s="17">
        <f>VLOOKUP(A35,'[2]2017'!$B:$D,3,FALSE)</f>
        <v>24</v>
      </c>
      <c r="I35" s="20">
        <f t="shared" si="4"/>
        <v>25</v>
      </c>
      <c r="J35" s="21" t="s">
        <v>73</v>
      </c>
      <c r="K35" s="22">
        <v>197900</v>
      </c>
      <c r="L35" s="22">
        <v>193700</v>
      </c>
      <c r="M35" s="22">
        <v>205198</v>
      </c>
      <c r="N35" s="22">
        <f t="shared" si="0"/>
        <v>198932.66666666666</v>
      </c>
      <c r="O35" s="17">
        <v>418</v>
      </c>
      <c r="P35" s="17">
        <v>317</v>
      </c>
      <c r="Q35" s="17">
        <v>437</v>
      </c>
      <c r="R35" s="20">
        <f t="shared" si="1"/>
        <v>390.66666666666669</v>
      </c>
      <c r="S35" s="23">
        <v>51.180327868852459</v>
      </c>
      <c r="U35" s="33">
        <f>IF(T35="Change",INDEX('FY21 wRVU Changes'!$E:$E,MATCH(Specialty!J35,'FY21 wRVU Changes'!$C:$C,0)),INDEX('Specialty Lookup'!$B:$B,MATCH(Specialty!J35,'Specialty Lookup'!$A:$A,0)))</f>
        <v>53.734553592838303</v>
      </c>
      <c r="V35" s="15">
        <f>IFERROR(VLOOKUP(A31,'Count of Providers as of Jan 18'!A:B,2,FALSE),0)</f>
        <v>13</v>
      </c>
      <c r="W35" s="32">
        <f t="shared" si="2"/>
        <v>-2.5542257239858444</v>
      </c>
    </row>
    <row r="36" spans="1:23">
      <c r="A36" s="16" t="s">
        <v>76</v>
      </c>
      <c r="B36" s="17">
        <v>4093</v>
      </c>
      <c r="C36" s="17">
        <v>4733</v>
      </c>
      <c r="D36" s="17">
        <f>VLOOKUP(A36,'[2]2017'!$B:$I,8,FALSE)</f>
        <v>4873</v>
      </c>
      <c r="E36" s="18">
        <f t="shared" si="3"/>
        <v>4566.333333333333</v>
      </c>
      <c r="F36" s="19">
        <v>16</v>
      </c>
      <c r="G36" s="17">
        <v>32</v>
      </c>
      <c r="H36" s="17">
        <f>VLOOKUP(A36,'[2]2017'!$B:$D,3,FALSE)</f>
        <v>18</v>
      </c>
      <c r="I36" s="20">
        <f t="shared" si="4"/>
        <v>22</v>
      </c>
      <c r="J36" s="21" t="s">
        <v>74</v>
      </c>
      <c r="K36" s="22">
        <v>210989</v>
      </c>
      <c r="L36" s="22">
        <v>216320</v>
      </c>
      <c r="M36" s="22">
        <v>226543</v>
      </c>
      <c r="N36" s="22">
        <f t="shared" si="0"/>
        <v>217950.66666666666</v>
      </c>
      <c r="O36" s="17">
        <v>53</v>
      </c>
      <c r="P36" s="17">
        <v>37</v>
      </c>
      <c r="Q36" s="17">
        <v>58</v>
      </c>
      <c r="R36" s="20">
        <f t="shared" si="1"/>
        <v>49.333333333333336</v>
      </c>
      <c r="S36" s="23">
        <v>31.299206131946345</v>
      </c>
      <c r="U36" s="33">
        <f>IF(T36="Change",INDEX('FY21 wRVU Changes'!$E:$E,MATCH(Specialty!J36,'FY21 wRVU Changes'!$C:$C,0)),INDEX('Specialty Lookup'!$B:$B,MATCH(Specialty!J36,'Specialty Lookup'!$A:$A,0)))</f>
        <v>63.678999721111836</v>
      </c>
      <c r="V36" s="15">
        <f>IFERROR(VLOOKUP(A32,'Count of Providers as of Jan 18'!A:B,2,FALSE),0)</f>
        <v>2</v>
      </c>
      <c r="W36" s="32">
        <f t="shared" si="2"/>
        <v>-32.379793589165487</v>
      </c>
    </row>
    <row r="37" spans="1:23">
      <c r="A37" s="16" t="s">
        <v>77</v>
      </c>
      <c r="B37" s="17">
        <v>7666</v>
      </c>
      <c r="C37" s="17">
        <v>9701</v>
      </c>
      <c r="D37" s="17">
        <f>VLOOKUP(A37,'[2]2017'!$B:$I,8,FALSE)</f>
        <v>8834</v>
      </c>
      <c r="E37" s="18">
        <f t="shared" si="3"/>
        <v>8733.6666666666661</v>
      </c>
      <c r="F37" s="19">
        <v>66</v>
      </c>
      <c r="G37" s="17">
        <v>38</v>
      </c>
      <c r="H37" s="17">
        <f>VLOOKUP(A37,'[2]2017'!$B:$D,3,FALSE)</f>
        <v>49</v>
      </c>
      <c r="I37" s="20">
        <f t="shared" si="4"/>
        <v>51</v>
      </c>
      <c r="J37" s="21" t="s">
        <v>75</v>
      </c>
      <c r="K37" s="22">
        <v>196661</v>
      </c>
      <c r="L37" s="22">
        <v>184032</v>
      </c>
      <c r="M37" s="22">
        <v>208556</v>
      </c>
      <c r="N37" s="22">
        <f t="shared" si="0"/>
        <v>196416.33333333334</v>
      </c>
      <c r="O37" s="17">
        <v>49</v>
      </c>
      <c r="P37" s="17">
        <v>41</v>
      </c>
      <c r="Q37" s="17">
        <v>57</v>
      </c>
      <c r="R37" s="20">
        <f t="shared" si="1"/>
        <v>49</v>
      </c>
      <c r="S37" s="23">
        <v>52.15956738768719</v>
      </c>
      <c r="U37" s="33">
        <f>IF(T37="Change",INDEX('FY21 wRVU Changes'!$E:$E,MATCH(Specialty!J37,'FY21 wRVU Changes'!$C:$C,0)),INDEX('Specialty Lookup'!$B:$B,MATCH(Specialty!J37,'Specialty Lookup'!$A:$A,0)))</f>
        <v>60.008860435339315</v>
      </c>
      <c r="V37" s="15">
        <f>IFERROR(VLOOKUP(A33,'Count of Providers as of Jan 18'!A:B,2,FALSE),0)</f>
        <v>2</v>
      </c>
      <c r="W37" s="32">
        <f t="shared" si="2"/>
        <v>-7.8492930476521252</v>
      </c>
    </row>
    <row r="38" spans="1:23">
      <c r="A38" s="16" t="s">
        <v>78</v>
      </c>
      <c r="B38" s="17">
        <v>5944</v>
      </c>
      <c r="C38" s="17">
        <v>3490</v>
      </c>
      <c r="D38" s="17">
        <f>VLOOKUP(A38,'[2]2017'!$B:$I,8,FALSE)</f>
        <v>4553</v>
      </c>
      <c r="E38" s="18">
        <f t="shared" si="3"/>
        <v>4662.333333333333</v>
      </c>
      <c r="F38" s="19">
        <v>17</v>
      </c>
      <c r="G38" s="17">
        <v>12</v>
      </c>
      <c r="H38" s="17">
        <f>VLOOKUP(A38,'[2]2017'!$B:$D,3,FALSE)</f>
        <v>13</v>
      </c>
      <c r="I38" s="20">
        <f t="shared" si="4"/>
        <v>14</v>
      </c>
      <c r="J38" s="21" t="s">
        <v>76</v>
      </c>
      <c r="K38" s="22">
        <v>182000</v>
      </c>
      <c r="L38" s="22">
        <v>207808</v>
      </c>
      <c r="M38" s="22">
        <v>206472</v>
      </c>
      <c r="N38" s="22">
        <f t="shared" si="0"/>
        <v>198760</v>
      </c>
      <c r="O38" s="17">
        <v>32</v>
      </c>
      <c r="P38" s="17">
        <v>33</v>
      </c>
      <c r="Q38" s="17">
        <v>51</v>
      </c>
      <c r="R38" s="20">
        <f t="shared" si="1"/>
        <v>38.666666666666664</v>
      </c>
      <c r="S38" s="23">
        <v>51.18</v>
      </c>
      <c r="U38" s="33">
        <f>IF(T38="Change",INDEX('FY21 wRVU Changes'!$E:$E,MATCH(Specialty!J38,'FY21 wRVU Changes'!$C:$C,0)),INDEX('Specialty Lookup'!$B:$B,MATCH(Specialty!J38,'Specialty Lookup'!$A:$A,0)))</f>
        <v>53.399756202495333</v>
      </c>
      <c r="V38" s="15">
        <f>IFERROR(VLOOKUP(A34,'Count of Providers as of Jan 18'!A:B,2,FALSE),0)</f>
        <v>2</v>
      </c>
      <c r="W38" s="32">
        <f t="shared" si="2"/>
        <v>-2.2197562024953328</v>
      </c>
    </row>
    <row r="39" spans="1:23">
      <c r="A39" s="16" t="s">
        <v>79</v>
      </c>
      <c r="B39" s="17">
        <v>5631</v>
      </c>
      <c r="C39" s="17">
        <v>6459</v>
      </c>
      <c r="D39" s="17">
        <f>VLOOKUP(A39,'[2]2017'!$B:$I,8,FALSE)</f>
        <v>6025</v>
      </c>
      <c r="E39" s="18">
        <f t="shared" si="3"/>
        <v>6038.333333333333</v>
      </c>
      <c r="F39" s="19">
        <v>17</v>
      </c>
      <c r="G39" s="17">
        <v>13</v>
      </c>
      <c r="H39" s="17">
        <f>VLOOKUP(A39,'[2]2017'!$B:$D,3,FALSE)</f>
        <v>15</v>
      </c>
      <c r="I39" s="20">
        <f t="shared" si="4"/>
        <v>15</v>
      </c>
      <c r="J39" s="21" t="s">
        <v>77</v>
      </c>
      <c r="K39" s="22">
        <v>329835</v>
      </c>
      <c r="L39" s="22">
        <v>316862</v>
      </c>
      <c r="M39" s="22">
        <v>367500</v>
      </c>
      <c r="N39" s="22">
        <f t="shared" si="0"/>
        <v>338065.66666666669</v>
      </c>
      <c r="O39" s="17">
        <v>69</v>
      </c>
      <c r="P39" s="17">
        <v>31</v>
      </c>
      <c r="Q39" s="17">
        <v>66</v>
      </c>
      <c r="R39" s="20">
        <f t="shared" si="1"/>
        <v>55.333333333333336</v>
      </c>
      <c r="S39" s="23">
        <v>55.292953446960055</v>
      </c>
      <c r="U39" s="33">
        <f>IF(T39="Change",INDEX('FY21 wRVU Changes'!$E:$E,MATCH(Specialty!J39,'FY21 wRVU Changes'!$C:$C,0)),INDEX('Specialty Lookup'!$B:$B,MATCH(Specialty!J39,'Specialty Lookup'!$A:$A,0)))</f>
        <v>47.307374703621939</v>
      </c>
      <c r="V39" s="15">
        <f>IFERROR(VLOOKUP(A35,'Count of Providers as of Jan 18'!A:B,2,FALSE),0)</f>
        <v>9</v>
      </c>
      <c r="W39" s="32">
        <f t="shared" si="2"/>
        <v>7.9855787433381167</v>
      </c>
    </row>
    <row r="40" spans="1:23">
      <c r="A40" s="16" t="s">
        <v>80</v>
      </c>
      <c r="B40" s="17">
        <v>7611</v>
      </c>
      <c r="C40" s="17">
        <v>6885</v>
      </c>
      <c r="D40" s="17">
        <f>VLOOKUP(A40,'[2]2017'!$B:$I,8,FALSE)</f>
        <v>6956</v>
      </c>
      <c r="E40" s="18">
        <f t="shared" si="3"/>
        <v>7150.666666666667</v>
      </c>
      <c r="F40" s="19">
        <v>198</v>
      </c>
      <c r="G40" s="17">
        <v>187</v>
      </c>
      <c r="H40" s="17">
        <f>VLOOKUP(A40,'[2]2017'!$B:$D,3,FALSE)</f>
        <v>139</v>
      </c>
      <c r="I40" s="20">
        <f t="shared" si="4"/>
        <v>174.66666666666666</v>
      </c>
      <c r="J40" s="21" t="s">
        <v>78</v>
      </c>
      <c r="K40" s="22">
        <v>240182</v>
      </c>
      <c r="L40" s="22">
        <v>251015</v>
      </c>
      <c r="M40" s="22">
        <v>239713</v>
      </c>
      <c r="N40" s="22">
        <f t="shared" si="0"/>
        <v>243636.66666666666</v>
      </c>
      <c r="O40" s="17">
        <v>37</v>
      </c>
      <c r="P40" s="17">
        <v>61</v>
      </c>
      <c r="Q40" s="17">
        <v>62</v>
      </c>
      <c r="R40" s="20">
        <f t="shared" si="1"/>
        <v>53.333333333333336</v>
      </c>
      <c r="S40" s="23">
        <v>50.997079002785135</v>
      </c>
      <c r="U40" s="33">
        <f>IF(T40="Change",INDEX('FY21 wRVU Changes'!$E:$E,MATCH(Specialty!J40,'FY21 wRVU Changes'!$C:$C,0)),INDEX('Specialty Lookup'!$B:$B,MATCH(Specialty!J40,'Specialty Lookup'!$A:$A,0)))</f>
        <v>69.009811645061959</v>
      </c>
      <c r="V40" s="15">
        <f>IFERROR(VLOOKUP(A36,'Count of Providers as of Jan 18'!A:B,2,FALSE),0)</f>
        <v>11</v>
      </c>
      <c r="W40" s="32">
        <f t="shared" si="2"/>
        <v>-18.012732642276823</v>
      </c>
    </row>
    <row r="41" spans="1:23">
      <c r="A41" s="16" t="s">
        <v>81</v>
      </c>
      <c r="B41" s="17">
        <v>8123</v>
      </c>
      <c r="C41" s="17">
        <v>8893</v>
      </c>
      <c r="D41" s="17">
        <f>VLOOKUP(A41,'[2]2017'!$B:$I,8,FALSE)</f>
        <v>7934</v>
      </c>
      <c r="E41" s="18">
        <f t="shared" si="3"/>
        <v>8316.6666666666661</v>
      </c>
      <c r="F41" s="19">
        <v>101</v>
      </c>
      <c r="G41" s="17">
        <v>62</v>
      </c>
      <c r="H41" s="17">
        <f>VLOOKUP(A41,'[2]2017'!$B:$D,3,FALSE)</f>
        <v>90</v>
      </c>
      <c r="I41" s="20">
        <f t="shared" si="4"/>
        <v>84.333333333333329</v>
      </c>
      <c r="J41" s="21" t="s">
        <v>79</v>
      </c>
      <c r="K41" s="22">
        <v>349999</v>
      </c>
      <c r="L41" s="22">
        <v>371181</v>
      </c>
      <c r="M41" s="22">
        <v>386825</v>
      </c>
      <c r="N41" s="22">
        <f t="shared" si="0"/>
        <v>369335</v>
      </c>
      <c r="O41" s="17">
        <v>132</v>
      </c>
      <c r="P41" s="17">
        <v>86</v>
      </c>
      <c r="Q41" s="17">
        <v>135</v>
      </c>
      <c r="R41" s="20">
        <f t="shared" si="1"/>
        <v>117.66666666666667</v>
      </c>
      <c r="S41" s="23">
        <v>44.217344671722977</v>
      </c>
      <c r="U41" s="33">
        <f>IF(T41="Change",INDEX('FY21 wRVU Changes'!$E:$E,MATCH(Specialty!J41,'FY21 wRVU Changes'!$C:$C,0)),INDEX('Specialty Lookup'!$B:$B,MATCH(Specialty!J41,'Specialty Lookup'!$A:$A,0)))</f>
        <v>53.45083754015603</v>
      </c>
      <c r="V41" s="15">
        <f>IFERROR(VLOOKUP(A37,'Count of Providers as of Jan 18'!A:B,2,FALSE),0)</f>
        <v>14</v>
      </c>
      <c r="W41" s="32">
        <f t="shared" si="2"/>
        <v>-9.2334928684330535</v>
      </c>
    </row>
    <row r="42" spans="1:23">
      <c r="A42" s="16" t="s">
        <v>82</v>
      </c>
      <c r="B42" s="17">
        <v>9205</v>
      </c>
      <c r="C42" s="17">
        <v>8914</v>
      </c>
      <c r="D42" s="17">
        <f>VLOOKUP(A42,'[2]2017'!$B:$I,8,FALSE)</f>
        <v>9786</v>
      </c>
      <c r="E42" s="18">
        <f t="shared" si="3"/>
        <v>9301.6666666666661</v>
      </c>
      <c r="F42" s="19">
        <v>10</v>
      </c>
      <c r="G42" s="17">
        <v>18</v>
      </c>
      <c r="H42" s="17">
        <f>VLOOKUP(A42,'[2]2017'!$B:$D,3,FALSE)</f>
        <v>12</v>
      </c>
      <c r="I42" s="20">
        <f t="shared" si="4"/>
        <v>13.333333333333334</v>
      </c>
      <c r="J42" s="21" t="s">
        <v>80</v>
      </c>
      <c r="K42" s="22">
        <v>316664</v>
      </c>
      <c r="L42" s="22">
        <v>292805</v>
      </c>
      <c r="M42" s="22">
        <v>307353</v>
      </c>
      <c r="N42" s="22">
        <f t="shared" si="0"/>
        <v>305607.33333333331</v>
      </c>
      <c r="O42" s="17">
        <v>39</v>
      </c>
      <c r="P42" s="17">
        <v>25</v>
      </c>
      <c r="Q42" s="17">
        <v>30</v>
      </c>
      <c r="R42" s="20">
        <f t="shared" si="1"/>
        <v>31.333333333333332</v>
      </c>
      <c r="S42" s="23">
        <v>38.958157389635311</v>
      </c>
      <c r="U42" s="33">
        <f>IF(T42="Change",INDEX('FY21 wRVU Changes'!$E:$E,MATCH(Specialty!J42,'FY21 wRVU Changes'!$C:$C,0)),INDEX('Specialty Lookup'!$B:$B,MATCH(Specialty!J42,'Specialty Lookup'!$A:$A,0)))</f>
        <v>38.635642517186675</v>
      </c>
      <c r="V42" s="15">
        <f>IFERROR(VLOOKUP(A38,'Count of Providers as of Jan 18'!A:B,2,FALSE),0)</f>
        <v>0</v>
      </c>
      <c r="W42" s="32">
        <f t="shared" si="2"/>
        <v>0.32251487244863597</v>
      </c>
    </row>
    <row r="43" spans="1:23">
      <c r="A43" s="16" t="s">
        <v>83</v>
      </c>
      <c r="B43" s="17" t="s">
        <v>50</v>
      </c>
      <c r="C43" s="17">
        <v>7292</v>
      </c>
      <c r="D43" s="17">
        <f>VLOOKUP(A43,'[2]2017'!$B:$I,8,FALSE)</f>
        <v>7725</v>
      </c>
      <c r="E43" s="18">
        <f t="shared" si="3"/>
        <v>7508.5</v>
      </c>
      <c r="F43" s="19">
        <v>7</v>
      </c>
      <c r="G43" s="17">
        <v>12</v>
      </c>
      <c r="H43" s="17">
        <f>VLOOKUP(A43,'[2]2017'!$B:$D,3,FALSE)</f>
        <v>12</v>
      </c>
      <c r="I43" s="20">
        <f t="shared" si="4"/>
        <v>10.333333333333334</v>
      </c>
      <c r="J43" s="21" t="s">
        <v>81</v>
      </c>
      <c r="K43" s="22">
        <v>277869</v>
      </c>
      <c r="L43" s="22">
        <v>285928</v>
      </c>
      <c r="M43" s="22">
        <v>305000</v>
      </c>
      <c r="N43" s="22">
        <f t="shared" si="0"/>
        <v>289599</v>
      </c>
      <c r="O43" s="17">
        <v>34</v>
      </c>
      <c r="P43" s="17">
        <v>23</v>
      </c>
      <c r="Q43" s="17">
        <v>31</v>
      </c>
      <c r="R43" s="20">
        <f t="shared" si="1"/>
        <v>29.333333333333332</v>
      </c>
      <c r="S43" s="23">
        <v>49.320290572890869</v>
      </c>
      <c r="U43" s="33">
        <f>IF(T43="Change",INDEX('FY21 wRVU Changes'!$E:$E,MATCH(Specialty!J43,'FY21 wRVU Changes'!$C:$C,0)),INDEX('Specialty Lookup'!$B:$B,MATCH(Specialty!J43,'Specialty Lookup'!$A:$A,0)))</f>
        <v>37.146665473900789</v>
      </c>
      <c r="V43" s="15">
        <f>IFERROR(VLOOKUP(A39,'Count of Providers as of Jan 18'!A:B,2,FALSE),0)</f>
        <v>5</v>
      </c>
      <c r="W43" s="32">
        <f t="shared" si="2"/>
        <v>12.17362509899008</v>
      </c>
    </row>
    <row r="44" spans="1:23">
      <c r="A44" s="16" t="s">
        <v>84</v>
      </c>
      <c r="B44" s="17" t="s">
        <v>50</v>
      </c>
      <c r="C44" s="17" t="s">
        <v>50</v>
      </c>
      <c r="D44" s="17">
        <f>VLOOKUP(A44,'[2]2017'!$B:$I,8,FALSE)</f>
        <v>0</v>
      </c>
      <c r="E44" s="18">
        <f t="shared" si="3"/>
        <v>0</v>
      </c>
      <c r="F44" s="19">
        <v>6</v>
      </c>
      <c r="G44" s="17">
        <v>6</v>
      </c>
      <c r="H44" s="17">
        <f>VLOOKUP(A44,'[2]2017'!$B:$D,3,FALSE)</f>
        <v>5</v>
      </c>
      <c r="I44" s="20">
        <f t="shared" si="4"/>
        <v>5.666666666666667</v>
      </c>
      <c r="J44" s="21" t="s">
        <v>82</v>
      </c>
      <c r="K44" s="22">
        <v>253053</v>
      </c>
      <c r="L44" s="22">
        <v>278609</v>
      </c>
      <c r="M44" s="22">
        <v>260209</v>
      </c>
      <c r="N44" s="22">
        <f t="shared" si="0"/>
        <v>263957</v>
      </c>
      <c r="O44" s="17">
        <v>377</v>
      </c>
      <c r="P44" s="17">
        <v>259</v>
      </c>
      <c r="Q44" s="17">
        <v>247</v>
      </c>
      <c r="R44" s="20">
        <f t="shared" si="1"/>
        <v>294.33333333333331</v>
      </c>
      <c r="S44" s="23">
        <v>38.958157389635311</v>
      </c>
      <c r="T44" s="63" t="s">
        <v>236</v>
      </c>
      <c r="U44" s="33">
        <f>IF(T44="Change",INDEX('FY21 wRVU Changes'!$E:$E,MATCH(Specialty!J44,'FY21 wRVU Changes'!$C:$C,0)),INDEX('Specialty Lookup'!$B:$B,MATCH(Specialty!J44,'Specialty Lookup'!$A:$A,0)))</f>
        <v>37.15</v>
      </c>
      <c r="V44" s="15">
        <f>IFERROR(VLOOKUP(A40,'Count of Providers as of Jan 18'!A:B,2,FALSE),0)</f>
        <v>12</v>
      </c>
      <c r="W44" s="32">
        <f t="shared" si="2"/>
        <v>1.808157389635312</v>
      </c>
    </row>
    <row r="45" spans="1:23">
      <c r="A45" s="16" t="s">
        <v>85</v>
      </c>
      <c r="B45" s="17">
        <v>8133</v>
      </c>
      <c r="C45" s="17" t="s">
        <v>50</v>
      </c>
      <c r="D45" s="17">
        <f>VLOOKUP(A45,'[2]2017'!$B:$I,8,FALSE)</f>
        <v>7020</v>
      </c>
      <c r="E45" s="18">
        <f t="shared" si="3"/>
        <v>7576.5</v>
      </c>
      <c r="F45" s="19">
        <v>11</v>
      </c>
      <c r="G45" s="17">
        <v>7</v>
      </c>
      <c r="H45" s="17">
        <f>VLOOKUP(A45,'[2]2017'!$B:$D,3,FALSE)</f>
        <v>10</v>
      </c>
      <c r="I45" s="20">
        <f t="shared" si="4"/>
        <v>9.3333333333333339</v>
      </c>
      <c r="J45" s="21" t="s">
        <v>83</v>
      </c>
      <c r="K45" s="22">
        <v>249281</v>
      </c>
      <c r="L45" s="22">
        <v>312840</v>
      </c>
      <c r="M45" s="22">
        <v>259388</v>
      </c>
      <c r="N45" s="22">
        <f t="shared" si="0"/>
        <v>273836.33333333331</v>
      </c>
      <c r="O45" s="17">
        <v>133</v>
      </c>
      <c r="P45" s="17">
        <v>80</v>
      </c>
      <c r="Q45" s="17">
        <v>140</v>
      </c>
      <c r="R45" s="20">
        <f t="shared" si="1"/>
        <v>117.66666666666667</v>
      </c>
      <c r="S45" s="23">
        <v>35.852557015927609</v>
      </c>
      <c r="T45" s="63" t="s">
        <v>236</v>
      </c>
      <c r="U45" s="33">
        <f>IF(T45="Change",INDEX('FY21 wRVU Changes'!$E:$E,MATCH(Specialty!J45,'FY21 wRVU Changes'!$C:$C,0)),INDEX('Specialty Lookup'!$B:$B,MATCH(Specialty!J45,'Specialty Lookup'!$A:$A,0)))</f>
        <v>45.85</v>
      </c>
      <c r="V45" s="15">
        <f>IFERROR(VLOOKUP(A41,'Count of Providers as of Jan 18'!A:B,2,FALSE),0)</f>
        <v>2</v>
      </c>
      <c r="W45" s="32">
        <f t="shared" si="2"/>
        <v>-9.9974429840723928</v>
      </c>
    </row>
    <row r="46" spans="1:23">
      <c r="A46" s="16" t="s">
        <v>86</v>
      </c>
      <c r="B46" s="17">
        <v>12025</v>
      </c>
      <c r="C46" s="17">
        <v>9856</v>
      </c>
      <c r="D46" s="17">
        <f>VLOOKUP(A46,'[2]2017'!$B:$I,8,FALSE)</f>
        <v>11976</v>
      </c>
      <c r="E46" s="18">
        <f t="shared" si="3"/>
        <v>11285.666666666666</v>
      </c>
      <c r="F46" s="19">
        <v>19</v>
      </c>
      <c r="G46" s="17">
        <v>24</v>
      </c>
      <c r="H46" s="17">
        <f>VLOOKUP(A46,'[2]2017'!$B:$D,3,FALSE)</f>
        <v>20</v>
      </c>
      <c r="I46" s="20">
        <f t="shared" si="4"/>
        <v>21</v>
      </c>
      <c r="J46" s="21" t="s">
        <v>84</v>
      </c>
      <c r="K46" s="22">
        <v>282332</v>
      </c>
      <c r="L46" s="22">
        <v>267956</v>
      </c>
      <c r="M46" s="22">
        <v>458000</v>
      </c>
      <c r="N46" s="22">
        <f t="shared" si="0"/>
        <v>336096</v>
      </c>
      <c r="O46" s="17">
        <v>14</v>
      </c>
      <c r="P46" s="17">
        <v>17</v>
      </c>
      <c r="Q46" s="17">
        <v>17</v>
      </c>
      <c r="R46" s="20">
        <f t="shared" si="1"/>
        <v>16</v>
      </c>
      <c r="S46" s="23">
        <v>35.852557015927609</v>
      </c>
      <c r="T46" s="63" t="s">
        <v>236</v>
      </c>
      <c r="U46" s="33">
        <f>IF(T46="Change",INDEX('FY21 wRVU Changes'!$E:$E,MATCH(Specialty!J46,'FY21 wRVU Changes'!$C:$C,0)),INDEX('Specialty Lookup'!$B:$B,MATCH(Specialty!J46,'Specialty Lookup'!$A:$A,0)))</f>
        <v>56.78</v>
      </c>
      <c r="V46" s="15">
        <f>IFERROR(VLOOKUP(A42,'Count of Providers as of Jan 18'!A:B,2,FALSE),0)</f>
        <v>3</v>
      </c>
      <c r="W46" s="32">
        <f t="shared" si="2"/>
        <v>-20.927442984072393</v>
      </c>
    </row>
    <row r="47" spans="1:23">
      <c r="A47" s="16" t="s">
        <v>87</v>
      </c>
      <c r="B47" s="17">
        <v>5673</v>
      </c>
      <c r="C47" s="17">
        <v>6050</v>
      </c>
      <c r="D47" s="17">
        <f>VLOOKUP(A47,'[2]2017'!$B:$I,8,FALSE)</f>
        <v>6720</v>
      </c>
      <c r="E47" s="18">
        <f t="shared" si="3"/>
        <v>6147.666666666667</v>
      </c>
      <c r="F47" s="19">
        <v>21</v>
      </c>
      <c r="G47" s="17">
        <v>20</v>
      </c>
      <c r="H47" s="17">
        <f>VLOOKUP(A47,'[2]2017'!$B:$D,3,FALSE)</f>
        <v>23</v>
      </c>
      <c r="I47" s="20">
        <f t="shared" si="4"/>
        <v>21.333333333333332</v>
      </c>
      <c r="J47" s="21" t="s">
        <v>241</v>
      </c>
      <c r="K47" s="22">
        <v>243681</v>
      </c>
      <c r="L47" s="22">
        <v>199775</v>
      </c>
      <c r="M47" s="22">
        <v>244191</v>
      </c>
      <c r="N47" s="22">
        <f t="shared" si="0"/>
        <v>229215.66666666666</v>
      </c>
      <c r="O47" s="17">
        <v>11</v>
      </c>
      <c r="P47" s="17">
        <v>11</v>
      </c>
      <c r="Q47" s="17">
        <v>13</v>
      </c>
      <c r="R47" s="20">
        <f t="shared" si="1"/>
        <v>11.666666666666666</v>
      </c>
      <c r="S47" s="23">
        <v>35.852557015927609</v>
      </c>
      <c r="T47" s="63" t="s">
        <v>236</v>
      </c>
      <c r="U47" s="33">
        <f>IF(T47="Change",INDEX('FY21 wRVU Changes'!$E:$E,MATCH(Specialty!J47,'FY21 wRVU Changes'!$C:$C,0)),INDEX('Specialty Lookup'!$B:$B,MATCH(Specialty!J47,'Specialty Lookup'!$A:$A,0)))</f>
        <v>39.909999999999997</v>
      </c>
      <c r="V47" s="15">
        <f>IFERROR(VLOOKUP(A43,'Count of Providers as of Jan 18'!A:B,2,FALSE),0)</f>
        <v>2</v>
      </c>
      <c r="W47" s="32">
        <f t="shared" si="2"/>
        <v>-4.057442984072388</v>
      </c>
    </row>
    <row r="48" spans="1:23">
      <c r="A48" s="16" t="s">
        <v>88</v>
      </c>
      <c r="B48" s="17">
        <v>9294</v>
      </c>
      <c r="C48" s="17">
        <v>9377</v>
      </c>
      <c r="D48" s="17">
        <f>VLOOKUP(A48,'[2]2017'!$B:$I,8,FALSE)</f>
        <v>8339</v>
      </c>
      <c r="E48" s="18">
        <f t="shared" si="3"/>
        <v>9003.3333333333339</v>
      </c>
      <c r="F48" s="19">
        <v>15</v>
      </c>
      <c r="G48" s="17">
        <v>16</v>
      </c>
      <c r="H48" s="17">
        <f>VLOOKUP(A48,'[2]2017'!$B:$D,3,FALSE)</f>
        <v>22</v>
      </c>
      <c r="I48" s="20">
        <f t="shared" si="4"/>
        <v>17.666666666666668</v>
      </c>
      <c r="J48" s="21" t="s">
        <v>86</v>
      </c>
      <c r="K48" s="22">
        <v>196698</v>
      </c>
      <c r="L48" s="22" t="s">
        <v>50</v>
      </c>
      <c r="M48" s="22">
        <v>0</v>
      </c>
      <c r="N48" s="22">
        <f t="shared" si="0"/>
        <v>98349</v>
      </c>
      <c r="O48" s="17">
        <v>11</v>
      </c>
      <c r="P48" s="17">
        <v>8</v>
      </c>
      <c r="Q48" s="17">
        <v>5</v>
      </c>
      <c r="R48" s="20">
        <f t="shared" si="1"/>
        <v>8</v>
      </c>
      <c r="S48" s="23">
        <v>35.852557015927609</v>
      </c>
      <c r="T48" s="63"/>
      <c r="U48" s="33">
        <f>IF(T48="Change",INDEX('FY21 wRVU Changes'!$E:$E,MATCH(Specialty!J48,'FY21 wRVU Changes'!$C:$C,0)),INDEX('Specialty Lookup'!$B:$B,MATCH(Specialty!J48,'Specialty Lookup'!$A:$A,0)))</f>
        <v>38.66003741262184</v>
      </c>
      <c r="V48" s="15">
        <f>IFERROR(VLOOKUP(A44,'Count of Providers as of Jan 18'!A:B,2,FALSE),0)</f>
        <v>1</v>
      </c>
      <c r="W48" s="32">
        <f t="shared" si="2"/>
        <v>-2.8074803966942312</v>
      </c>
    </row>
    <row r="49" spans="1:23">
      <c r="A49" s="16" t="s">
        <v>89</v>
      </c>
      <c r="B49" s="17">
        <v>7846</v>
      </c>
      <c r="C49" s="17">
        <v>8413</v>
      </c>
      <c r="D49" s="17">
        <f>VLOOKUP(A49,'[2]2017'!$B:$I,8,FALSE)</f>
        <v>9928</v>
      </c>
      <c r="E49" s="18">
        <f t="shared" si="3"/>
        <v>8729</v>
      </c>
      <c r="F49" s="19">
        <v>82</v>
      </c>
      <c r="G49" s="17">
        <v>30</v>
      </c>
      <c r="H49" s="17">
        <f>VLOOKUP(A49,'[2]2017'!$B:$D,3,FALSE)</f>
        <v>33</v>
      </c>
      <c r="I49" s="20">
        <f t="shared" si="4"/>
        <v>48.333333333333336</v>
      </c>
      <c r="J49" s="21" t="s">
        <v>87</v>
      </c>
      <c r="K49" s="22">
        <v>227679</v>
      </c>
      <c r="L49" s="22" t="s">
        <v>50</v>
      </c>
      <c r="M49" s="22">
        <v>360284</v>
      </c>
      <c r="N49" s="22">
        <f t="shared" si="0"/>
        <v>293981.5</v>
      </c>
      <c r="O49" s="17">
        <v>13</v>
      </c>
      <c r="P49" s="17">
        <v>8</v>
      </c>
      <c r="Q49" s="17">
        <v>11</v>
      </c>
      <c r="R49" s="20">
        <f t="shared" si="1"/>
        <v>10.666666666666666</v>
      </c>
      <c r="S49" s="23">
        <v>35.852557015927609</v>
      </c>
      <c r="T49" s="63"/>
      <c r="U49" s="33">
        <f>IF(T49="Change",INDEX('FY21 wRVU Changes'!$E:$E,MATCH(Specialty!J49,'FY21 wRVU Changes'!$C:$C,0)),INDEX('Specialty Lookup'!$B:$B,MATCH(Specialty!J49,'Specialty Lookup'!$A:$A,0)))</f>
        <v>41.946101180903369</v>
      </c>
      <c r="V49" s="15">
        <f>IFERROR(VLOOKUP(A45,'Count of Providers as of Jan 18'!A:B,2,FALSE),0)</f>
        <v>2</v>
      </c>
      <c r="W49" s="32">
        <f t="shared" si="2"/>
        <v>-6.0935441649757607</v>
      </c>
    </row>
    <row r="50" spans="1:23">
      <c r="A50" s="16" t="s">
        <v>90</v>
      </c>
      <c r="B50" s="17">
        <v>10014</v>
      </c>
      <c r="C50" s="17">
        <v>10485</v>
      </c>
      <c r="D50" s="17">
        <f>VLOOKUP(A50,'[2]2017'!$B:$I,8,FALSE)</f>
        <v>9025</v>
      </c>
      <c r="E50" s="18">
        <f t="shared" si="3"/>
        <v>9841.3333333333339</v>
      </c>
      <c r="F50" s="19">
        <v>32</v>
      </c>
      <c r="G50" s="17">
        <v>24</v>
      </c>
      <c r="H50" s="17">
        <f>VLOOKUP(A50,'[2]2017'!$B:$D,3,FALSE)</f>
        <v>43</v>
      </c>
      <c r="I50" s="20">
        <f t="shared" si="4"/>
        <v>33</v>
      </c>
      <c r="J50" s="21" t="s">
        <v>224</v>
      </c>
      <c r="K50" s="22"/>
      <c r="L50" s="22"/>
      <c r="M50" s="22"/>
      <c r="N50" s="22"/>
      <c r="O50" s="17"/>
      <c r="P50" s="17"/>
      <c r="Q50" s="17"/>
      <c r="R50" s="20"/>
      <c r="S50" s="23"/>
      <c r="T50" s="65" t="s">
        <v>236</v>
      </c>
      <c r="U50" s="33">
        <f>IF(T50="Change",INDEX('FY21 wRVU Changes'!$E:$E,MATCH(Specialty!J50,'FY21 wRVU Changes'!$C:$C,0)),INDEX('Specialty Lookup'!$B:$B,MATCH(Specialty!J50,'Specialty Lookup'!$A:$A,0)))</f>
        <v>54.56</v>
      </c>
      <c r="W50" s="32"/>
    </row>
    <row r="51" spans="1:23">
      <c r="A51" s="16" t="s">
        <v>91</v>
      </c>
      <c r="B51" s="17">
        <v>9738</v>
      </c>
      <c r="C51" s="17">
        <v>12613</v>
      </c>
      <c r="D51" s="17">
        <f>VLOOKUP(A51,'[2]2017'!$B:$I,8,FALSE)</f>
        <v>11097</v>
      </c>
      <c r="E51" s="18">
        <f t="shared" si="3"/>
        <v>11149.333333333334</v>
      </c>
      <c r="F51" s="19">
        <v>36</v>
      </c>
      <c r="G51" s="17">
        <v>27</v>
      </c>
      <c r="H51" s="17">
        <f>VLOOKUP(A51,'[2]2017'!$B:$D,3,FALSE)</f>
        <v>35</v>
      </c>
      <c r="I51" s="20">
        <f t="shared" si="4"/>
        <v>32.666666666666664</v>
      </c>
      <c r="J51" s="21" t="s">
        <v>88</v>
      </c>
      <c r="K51" s="22">
        <v>348004</v>
      </c>
      <c r="L51" s="22">
        <v>285455</v>
      </c>
      <c r="M51" s="22">
        <v>339645</v>
      </c>
      <c r="N51" s="22">
        <f t="shared" si="0"/>
        <v>324368</v>
      </c>
      <c r="O51" s="17">
        <v>14</v>
      </c>
      <c r="P51" s="17">
        <v>31</v>
      </c>
      <c r="Q51" s="17">
        <v>28</v>
      </c>
      <c r="R51" s="20">
        <f t="shared" si="1"/>
        <v>24.333333333333332</v>
      </c>
      <c r="S51" s="23">
        <v>34.321378141767859</v>
      </c>
      <c r="U51" s="33">
        <f>IF(T51="Change",INDEX('FY21 wRVU Changes'!$E:$E,MATCH(Specialty!J51,'FY21 wRVU Changes'!$C:$C,0)),INDEX('Specialty Lookup'!$B:$B,MATCH(Specialty!J51,'Specialty Lookup'!$A:$A,0)))</f>
        <v>49.284279077155226</v>
      </c>
      <c r="V51" s="15">
        <f>IFERROR(VLOOKUP(A46,'Count of Providers as of Jan 18'!A:B,2,FALSE),0)</f>
        <v>3</v>
      </c>
      <c r="W51" s="32">
        <f t="shared" si="2"/>
        <v>-14.962900935387367</v>
      </c>
    </row>
    <row r="52" spans="1:23">
      <c r="A52" s="16" t="s">
        <v>92</v>
      </c>
      <c r="B52" s="17">
        <v>8834</v>
      </c>
      <c r="C52" s="17">
        <v>8609</v>
      </c>
      <c r="D52" s="17">
        <f>VLOOKUP(A52,'[2]2017'!$B:$I,8,FALSE)</f>
        <v>6956</v>
      </c>
      <c r="E52" s="18">
        <f t="shared" si="3"/>
        <v>8133</v>
      </c>
      <c r="F52" s="19">
        <v>20</v>
      </c>
      <c r="G52" s="17">
        <v>10</v>
      </c>
      <c r="H52" s="17">
        <f>VLOOKUP(A52,'[2]2017'!$B:$D,3,FALSE)</f>
        <v>10</v>
      </c>
      <c r="I52" s="20">
        <f t="shared" si="4"/>
        <v>13.333333333333334</v>
      </c>
      <c r="J52" s="21" t="s">
        <v>89</v>
      </c>
      <c r="K52" s="22">
        <v>244503</v>
      </c>
      <c r="L52" s="22">
        <v>285113</v>
      </c>
      <c r="M52" s="22">
        <v>282851</v>
      </c>
      <c r="N52" s="22">
        <f t="shared" si="0"/>
        <v>270822.33333333331</v>
      </c>
      <c r="O52" s="17">
        <v>22</v>
      </c>
      <c r="P52" s="17">
        <v>23</v>
      </c>
      <c r="Q52" s="17">
        <v>28</v>
      </c>
      <c r="R52" s="20">
        <f t="shared" si="1"/>
        <v>24.333333333333332</v>
      </c>
      <c r="S52" s="23">
        <v>42.085209713024284</v>
      </c>
      <c r="U52" s="33">
        <f>IF(T52="Change",INDEX('FY21 wRVU Changes'!$E:$E,MATCH(Specialty!J52,'FY21 wRVU Changes'!$C:$C,0)),INDEX('Specialty Lookup'!$B:$B,MATCH(Specialty!J52,'Specialty Lookup'!$A:$A,0)))</f>
        <v>54.55650813091107</v>
      </c>
      <c r="V52" s="15">
        <f>IFERROR(VLOOKUP(A47,'Count of Providers as of Jan 18'!A:B,2,FALSE),0)</f>
        <v>2</v>
      </c>
      <c r="W52" s="32">
        <f t="shared" si="2"/>
        <v>-12.471298417886786</v>
      </c>
    </row>
    <row r="53" spans="1:23">
      <c r="A53" s="16" t="s">
        <v>93</v>
      </c>
      <c r="B53" s="17" t="s">
        <v>50</v>
      </c>
      <c r="C53" s="17" t="s">
        <v>50</v>
      </c>
      <c r="D53" s="17">
        <f>VLOOKUP(A53,'[2]2017'!$B:$I,8,FALSE)</f>
        <v>0</v>
      </c>
      <c r="E53" s="18">
        <f t="shared" si="3"/>
        <v>0</v>
      </c>
      <c r="F53" s="19">
        <v>9</v>
      </c>
      <c r="G53" s="17">
        <v>6</v>
      </c>
      <c r="H53" s="17">
        <f>VLOOKUP(A53,'[2]2017'!$B:$D,3,FALSE)</f>
        <v>7</v>
      </c>
      <c r="I53" s="20">
        <f t="shared" si="4"/>
        <v>7.333333333333333</v>
      </c>
      <c r="J53" s="21" t="s">
        <v>90</v>
      </c>
      <c r="K53" s="22">
        <v>441501</v>
      </c>
      <c r="L53" s="22">
        <v>392448</v>
      </c>
      <c r="M53" s="22">
        <v>367635</v>
      </c>
      <c r="N53" s="22">
        <f t="shared" si="0"/>
        <v>400528</v>
      </c>
      <c r="O53" s="17">
        <v>27</v>
      </c>
      <c r="P53" s="17">
        <v>17</v>
      </c>
      <c r="Q53" s="17">
        <v>27</v>
      </c>
      <c r="R53" s="20">
        <f t="shared" si="1"/>
        <v>23.666666666666668</v>
      </c>
      <c r="S53" s="23">
        <v>45.227220956719819</v>
      </c>
      <c r="U53" s="33">
        <f>IF(T53="Change",INDEX('FY21 wRVU Changes'!$E:$E,MATCH(Specialty!J53,'FY21 wRVU Changes'!$C:$C,0)),INDEX('Specialty Lookup'!$B:$B,MATCH(Specialty!J53,'Specialty Lookup'!$A:$A,0)))</f>
        <v>53.568590382566256</v>
      </c>
      <c r="V53" s="15">
        <f>IFERROR(VLOOKUP(A48,'Count of Providers as of Jan 18'!A:B,2,FALSE),0)</f>
        <v>2</v>
      </c>
      <c r="W53" s="32">
        <f t="shared" si="2"/>
        <v>-8.3413694258464375</v>
      </c>
    </row>
    <row r="54" spans="1:23">
      <c r="A54" s="16" t="s">
        <v>94</v>
      </c>
      <c r="B54" s="17">
        <v>12192</v>
      </c>
      <c r="C54" s="17">
        <v>15525</v>
      </c>
      <c r="D54" s="17">
        <f>VLOOKUP(A54,'[2]2017'!$B:$I,8,FALSE)</f>
        <v>14035</v>
      </c>
      <c r="E54" s="18">
        <f t="shared" si="3"/>
        <v>13917.333333333334</v>
      </c>
      <c r="F54" s="19">
        <v>33</v>
      </c>
      <c r="G54" s="17">
        <v>26</v>
      </c>
      <c r="H54" s="17">
        <f>VLOOKUP(A54,'[2]2017'!$B:$D,3,FALSE)</f>
        <v>31</v>
      </c>
      <c r="I54" s="20">
        <f t="shared" si="4"/>
        <v>30</v>
      </c>
      <c r="J54" s="21" t="s">
        <v>91</v>
      </c>
      <c r="K54" s="22">
        <v>444425</v>
      </c>
      <c r="L54" s="22">
        <v>407997</v>
      </c>
      <c r="M54" s="22">
        <v>444656</v>
      </c>
      <c r="N54" s="22">
        <f t="shared" si="0"/>
        <v>432359.33333333331</v>
      </c>
      <c r="O54" s="17">
        <v>104</v>
      </c>
      <c r="P54" s="17">
        <v>35</v>
      </c>
      <c r="Q54" s="17">
        <v>56</v>
      </c>
      <c r="R54" s="20">
        <f t="shared" si="1"/>
        <v>65</v>
      </c>
      <c r="S54" s="23">
        <v>52.724146341463417</v>
      </c>
      <c r="U54" s="33">
        <f>IF(T54="Change",INDEX('FY21 wRVU Changes'!$E:$E,MATCH(Specialty!J54,'FY21 wRVU Changes'!$C:$C,0)),INDEX('Specialty Lookup'!$B:$B,MATCH(Specialty!J54,'Specialty Lookup'!$A:$A,0)))</f>
        <v>48.437622652088592</v>
      </c>
      <c r="V54" s="15">
        <f>IFERROR(VLOOKUP(A49,'Count of Providers as of Jan 18'!A:B,2,FALSE),0)</f>
        <v>0</v>
      </c>
      <c r="W54" s="32">
        <f t="shared" si="2"/>
        <v>4.2865236893748246</v>
      </c>
    </row>
    <row r="55" spans="1:23">
      <c r="A55" s="16" t="s">
        <v>95</v>
      </c>
      <c r="B55" s="17">
        <v>8760</v>
      </c>
      <c r="C55" s="17">
        <v>10107</v>
      </c>
      <c r="D55" s="17">
        <f>VLOOKUP(A55,'[2]2017'!$B:$I,8,FALSE)</f>
        <v>8341</v>
      </c>
      <c r="E55" s="18">
        <f t="shared" si="3"/>
        <v>9069.3333333333339</v>
      </c>
      <c r="F55" s="19">
        <v>54</v>
      </c>
      <c r="G55" s="17">
        <v>36</v>
      </c>
      <c r="H55" s="17">
        <f>VLOOKUP(A55,'[2]2017'!$B:$D,3,FALSE)</f>
        <v>52</v>
      </c>
      <c r="I55" s="20">
        <f t="shared" si="4"/>
        <v>47.333333333333336</v>
      </c>
      <c r="J55" s="21" t="s">
        <v>92</v>
      </c>
      <c r="K55" s="22">
        <v>499018</v>
      </c>
      <c r="L55" s="22">
        <v>527350</v>
      </c>
      <c r="M55" s="22">
        <v>502426</v>
      </c>
      <c r="N55" s="22">
        <f t="shared" si="0"/>
        <v>509598</v>
      </c>
      <c r="O55" s="17">
        <v>39</v>
      </c>
      <c r="P55" s="17">
        <v>34</v>
      </c>
      <c r="Q55" s="17">
        <v>52</v>
      </c>
      <c r="R55" s="20">
        <f t="shared" si="1"/>
        <v>41.666666666666664</v>
      </c>
      <c r="S55" s="23">
        <v>53.389064036069016</v>
      </c>
      <c r="U55" s="33">
        <f>IF(T55="Change",INDEX('FY21 wRVU Changes'!$E:$E,MATCH(Specialty!J55,'FY21 wRVU Changes'!$C:$C,0)),INDEX('Specialty Lookup'!$B:$B,MATCH(Specialty!J55,'Specialty Lookup'!$A:$A,0)))</f>
        <v>54.55650813091107</v>
      </c>
      <c r="V55" s="15">
        <f>IFERROR(VLOOKUP(A50,'Count of Providers as of Jan 18'!A:B,2,FALSE),0)</f>
        <v>3</v>
      </c>
      <c r="W55" s="32">
        <f t="shared" si="2"/>
        <v>-1.1674440948420539</v>
      </c>
    </row>
    <row r="56" spans="1:23">
      <c r="A56" s="16" t="s">
        <v>96</v>
      </c>
      <c r="B56" s="17">
        <v>10466</v>
      </c>
      <c r="C56" s="17">
        <v>9828</v>
      </c>
      <c r="D56" s="17">
        <f>VLOOKUP(A56,'[2]2017'!$B:$I,8,FALSE)</f>
        <v>9354</v>
      </c>
      <c r="E56" s="18">
        <f t="shared" si="3"/>
        <v>9882.6666666666661</v>
      </c>
      <c r="F56" s="19">
        <v>35</v>
      </c>
      <c r="G56" s="17">
        <v>41</v>
      </c>
      <c r="H56" s="17">
        <f>VLOOKUP(A56,'[2]2017'!$B:$D,3,FALSE)</f>
        <v>46</v>
      </c>
      <c r="I56" s="20">
        <f t="shared" si="4"/>
        <v>40.666666666666664</v>
      </c>
      <c r="J56" s="21" t="s">
        <v>93</v>
      </c>
      <c r="K56" s="22">
        <v>512952</v>
      </c>
      <c r="L56" s="22">
        <v>548288</v>
      </c>
      <c r="M56" s="22">
        <v>525000</v>
      </c>
      <c r="N56" s="22">
        <f t="shared" si="0"/>
        <v>528746.66666666663</v>
      </c>
      <c r="O56" s="17">
        <v>53</v>
      </c>
      <c r="P56" s="17">
        <v>31</v>
      </c>
      <c r="Q56" s="17">
        <v>39</v>
      </c>
      <c r="R56" s="20">
        <f t="shared" si="1"/>
        <v>41</v>
      </c>
      <c r="S56" s="23">
        <v>46.878843573137289</v>
      </c>
      <c r="U56" s="33">
        <f>IF(T56="Change",INDEX('FY21 wRVU Changes'!$E:$E,MATCH(Specialty!J56,'FY21 wRVU Changes'!$C:$C,0)),INDEX('Specialty Lookup'!$B:$B,MATCH(Specialty!J56,'Specialty Lookup'!$A:$A,0)))</f>
        <v>54.55650813091107</v>
      </c>
      <c r="V56" s="15">
        <f>IFERROR(VLOOKUP(A51,'Count of Providers as of Jan 18'!A:B,2,FALSE),0)</f>
        <v>2</v>
      </c>
      <c r="W56" s="32">
        <f t="shared" si="2"/>
        <v>-7.677664557773781</v>
      </c>
    </row>
    <row r="57" spans="1:23">
      <c r="A57" s="16" t="s">
        <v>97</v>
      </c>
      <c r="B57" s="17">
        <v>7604</v>
      </c>
      <c r="C57" s="17">
        <v>8990</v>
      </c>
      <c r="D57" s="17">
        <f>VLOOKUP(A57,'[2]2017'!$B:$I,8,FALSE)</f>
        <v>7533</v>
      </c>
      <c r="E57" s="18">
        <f t="shared" si="3"/>
        <v>8042.333333333333</v>
      </c>
      <c r="F57" s="19">
        <v>86</v>
      </c>
      <c r="G57" s="17">
        <v>92</v>
      </c>
      <c r="H57" s="17">
        <f>VLOOKUP(A57,'[2]2017'!$B:$D,3,FALSE)</f>
        <v>131</v>
      </c>
      <c r="I57" s="20">
        <f t="shared" si="4"/>
        <v>103</v>
      </c>
      <c r="J57" s="21" t="s">
        <v>94</v>
      </c>
      <c r="K57" s="22">
        <v>500756</v>
      </c>
      <c r="L57" s="22">
        <v>439454</v>
      </c>
      <c r="M57" s="22">
        <v>498319</v>
      </c>
      <c r="N57" s="22">
        <f t="shared" si="0"/>
        <v>479509.66666666669</v>
      </c>
      <c r="O57" s="17">
        <v>26</v>
      </c>
      <c r="P57" s="17">
        <v>15</v>
      </c>
      <c r="Q57" s="17">
        <v>12</v>
      </c>
      <c r="R57" s="20">
        <f t="shared" si="1"/>
        <v>17.666666666666668</v>
      </c>
      <c r="S57" s="23">
        <v>52.724146341463417</v>
      </c>
      <c r="U57" s="33">
        <f>IF(T57="Change",INDEX('FY21 wRVU Changes'!$E:$E,MATCH(Specialty!J57,'FY21 wRVU Changes'!$C:$C,0)),INDEX('Specialty Lookup'!$B:$B,MATCH(Specialty!J57,'Specialty Lookup'!$A:$A,0)))</f>
        <v>56.928471948495599</v>
      </c>
      <c r="V57" s="15">
        <f>IFERROR(VLOOKUP(A52,'Count of Providers as of Jan 18'!A:B,2,FALSE),0)</f>
        <v>1</v>
      </c>
      <c r="W57" s="32">
        <f t="shared" si="2"/>
        <v>-4.2043256070321817</v>
      </c>
    </row>
    <row r="58" spans="1:23">
      <c r="A58" s="16" t="s">
        <v>98</v>
      </c>
      <c r="B58" s="17">
        <v>6466</v>
      </c>
      <c r="C58" s="17">
        <v>7134</v>
      </c>
      <c r="D58" s="17">
        <f>VLOOKUP(A58,'[2]2017'!$B:$I,8,FALSE)</f>
        <v>6070</v>
      </c>
      <c r="E58" s="18">
        <f t="shared" si="3"/>
        <v>6556.666666666667</v>
      </c>
      <c r="F58" s="19">
        <v>123</v>
      </c>
      <c r="G58" s="17">
        <v>46</v>
      </c>
      <c r="H58" s="17">
        <f>VLOOKUP(A58,'[2]2017'!$B:$D,3,FALSE)</f>
        <v>69</v>
      </c>
      <c r="I58" s="20">
        <f t="shared" si="4"/>
        <v>79.333333333333329</v>
      </c>
      <c r="J58" s="21" t="s">
        <v>95</v>
      </c>
      <c r="K58" s="22">
        <v>489375</v>
      </c>
      <c r="L58" s="22" t="s">
        <v>50</v>
      </c>
      <c r="M58" s="22">
        <v>0</v>
      </c>
      <c r="N58" s="22">
        <f t="shared" si="0"/>
        <v>244687.5</v>
      </c>
      <c r="O58" s="17">
        <v>11</v>
      </c>
      <c r="P58" s="17">
        <v>9</v>
      </c>
      <c r="Q58" s="17">
        <v>8</v>
      </c>
      <c r="R58" s="20">
        <f t="shared" si="1"/>
        <v>9.3333333333333339</v>
      </c>
      <c r="S58" s="23">
        <v>52.724146341463417</v>
      </c>
      <c r="U58" s="33">
        <f>IF(T58="Change",INDEX('FY21 wRVU Changes'!$E:$E,MATCH(Specialty!J58,'FY21 wRVU Changes'!$C:$C,0)),INDEX('Specialty Lookup'!$B:$B,MATCH(Specialty!J58,'Specialty Lookup'!$A:$A,0)))</f>
        <v>60.106497218788626</v>
      </c>
      <c r="V58" s="15">
        <f>IFERROR(VLOOKUP(A53,'Count of Providers as of Jan 18'!A:B,2,FALSE),0)</f>
        <v>0</v>
      </c>
      <c r="W58" s="32">
        <f t="shared" si="2"/>
        <v>-7.3823508773252087</v>
      </c>
    </row>
    <row r="59" spans="1:23">
      <c r="A59" s="16" t="s">
        <v>99</v>
      </c>
      <c r="B59" s="17">
        <v>5808</v>
      </c>
      <c r="C59" s="17">
        <v>6269</v>
      </c>
      <c r="D59" s="17">
        <f>VLOOKUP(A59,'[2]2017'!$B:$I,8,FALSE)</f>
        <v>7163</v>
      </c>
      <c r="E59" s="18">
        <f t="shared" si="3"/>
        <v>6413.333333333333</v>
      </c>
      <c r="F59" s="19">
        <v>31</v>
      </c>
      <c r="G59" s="17">
        <v>43</v>
      </c>
      <c r="H59" s="17">
        <f>VLOOKUP(A59,'[2]2017'!$B:$D,3,FALSE)</f>
        <v>69</v>
      </c>
      <c r="I59" s="20">
        <f t="shared" si="4"/>
        <v>47.666666666666664</v>
      </c>
      <c r="J59" s="21" t="s">
        <v>96</v>
      </c>
      <c r="K59" s="22">
        <v>600642</v>
      </c>
      <c r="L59" s="22">
        <v>610000</v>
      </c>
      <c r="M59" s="22">
        <v>734127</v>
      </c>
      <c r="N59" s="22">
        <f t="shared" si="0"/>
        <v>648256.33333333337</v>
      </c>
      <c r="O59" s="17">
        <v>43</v>
      </c>
      <c r="P59" s="17">
        <v>35</v>
      </c>
      <c r="Q59" s="17">
        <v>40</v>
      </c>
      <c r="R59" s="20">
        <f t="shared" si="1"/>
        <v>39.333333333333336</v>
      </c>
      <c r="S59" s="23">
        <v>50.001875816217499</v>
      </c>
      <c r="U59" s="33">
        <f>IF(T59="Change",INDEX('FY21 wRVU Changes'!$E:$E,MATCH(Specialty!J59,'FY21 wRVU Changes'!$C:$C,0)),INDEX('Specialty Lookup'!$B:$B,MATCH(Specialty!J59,'Specialty Lookup'!$A:$A,0)))</f>
        <v>61.224272663902859</v>
      </c>
      <c r="V59" s="15">
        <f>IFERROR(VLOOKUP(A54,'Count of Providers as of Jan 18'!A:B,2,FALSE),0)</f>
        <v>2</v>
      </c>
      <c r="W59" s="32">
        <f t="shared" si="2"/>
        <v>-11.22239684768536</v>
      </c>
    </row>
    <row r="60" spans="1:23">
      <c r="A60" s="16" t="s">
        <v>100</v>
      </c>
      <c r="B60" s="17" t="s">
        <v>50</v>
      </c>
      <c r="C60" s="17" t="s">
        <v>50</v>
      </c>
      <c r="E60" s="18">
        <f t="shared" si="3"/>
        <v>0</v>
      </c>
      <c r="F60" s="19">
        <v>3</v>
      </c>
      <c r="G60" s="17">
        <v>2</v>
      </c>
      <c r="I60" s="20">
        <f t="shared" si="4"/>
        <v>2.5</v>
      </c>
      <c r="J60" s="21" t="s">
        <v>97</v>
      </c>
      <c r="K60" s="22">
        <v>503762</v>
      </c>
      <c r="L60" s="22">
        <v>495552</v>
      </c>
      <c r="M60" s="22">
        <v>491719</v>
      </c>
      <c r="N60" s="22">
        <f t="shared" si="0"/>
        <v>497011</v>
      </c>
      <c r="O60" s="17">
        <v>69</v>
      </c>
      <c r="P60" s="17">
        <v>48</v>
      </c>
      <c r="Q60" s="17">
        <v>70</v>
      </c>
      <c r="R60" s="20">
        <f t="shared" si="1"/>
        <v>62.333333333333336</v>
      </c>
      <c r="S60" s="23">
        <v>55.299387807470943</v>
      </c>
      <c r="U60" s="33">
        <f>IF(T60="Change",INDEX('FY21 wRVU Changes'!$E:$E,MATCH(Specialty!J60,'FY21 wRVU Changes'!$C:$C,0)),INDEX('Specialty Lookup'!$B:$B,MATCH(Specialty!J60,'Specialty Lookup'!$A:$A,0)))</f>
        <v>49.412072346916538</v>
      </c>
      <c r="V60" s="15">
        <f>IFERROR(VLOOKUP(A55,'Count of Providers as of Jan 18'!A:B,2,FALSE),0)</f>
        <v>4</v>
      </c>
      <c r="W60" s="32">
        <f t="shared" si="2"/>
        <v>5.8873154605544045</v>
      </c>
    </row>
    <row r="61" spans="1:23">
      <c r="A61" s="16" t="s">
        <v>101</v>
      </c>
      <c r="B61" s="17" t="s">
        <v>50</v>
      </c>
      <c r="C61" s="17">
        <v>5786</v>
      </c>
      <c r="D61" s="17">
        <f>VLOOKUP(A61,'[2]2017'!$B:$I,8,FALSE)</f>
        <v>0</v>
      </c>
      <c r="E61" s="18">
        <f t="shared" si="3"/>
        <v>2893</v>
      </c>
      <c r="F61" s="19">
        <v>7</v>
      </c>
      <c r="G61" s="17">
        <v>12</v>
      </c>
      <c r="H61" s="17">
        <f>VLOOKUP(A61,'[2]2017'!$B:$D,3,FALSE)</f>
        <v>7</v>
      </c>
      <c r="I61" s="20">
        <f t="shared" si="4"/>
        <v>8.6666666666666661</v>
      </c>
      <c r="J61" s="21" t="s">
        <v>242</v>
      </c>
      <c r="K61" s="22">
        <v>533363</v>
      </c>
      <c r="L61" s="22">
        <v>565000</v>
      </c>
      <c r="M61" s="22">
        <v>527836</v>
      </c>
      <c r="N61" s="22">
        <f t="shared" si="0"/>
        <v>542066.33333333337</v>
      </c>
      <c r="O61" s="17">
        <v>49</v>
      </c>
      <c r="P61" s="17">
        <v>53</v>
      </c>
      <c r="Q61" s="17">
        <v>64</v>
      </c>
      <c r="R61" s="20">
        <f t="shared" si="1"/>
        <v>55.333333333333336</v>
      </c>
      <c r="S61" s="23">
        <v>56.876131142976462</v>
      </c>
      <c r="U61" s="33">
        <f>IF(T61="Change",INDEX('FY21 wRVU Changes'!$E:$E,MATCH(Specialty!J61,'FY21 wRVU Changes'!$C:$C,0)),INDEX('Specialty Lookup'!$B:$B,MATCH(Specialty!J61,'Specialty Lookup'!$A:$A,0)))</f>
        <v>119.01598245064243</v>
      </c>
      <c r="V61" s="15">
        <f>IFERROR(VLOOKUP(A56,'Count of Providers as of Jan 18'!A:B,2,FALSE),0)</f>
        <v>3</v>
      </c>
      <c r="W61" s="32">
        <f t="shared" si="2"/>
        <v>-62.139851307665964</v>
      </c>
    </row>
    <row r="62" spans="1:23">
      <c r="A62" s="16" t="s">
        <v>102</v>
      </c>
      <c r="B62" s="17" t="s">
        <v>50</v>
      </c>
      <c r="C62" s="17" t="s">
        <v>50</v>
      </c>
      <c r="D62" s="17">
        <f>VLOOKUP(A62,'[2]2017'!$B:$I,8,FALSE)</f>
        <v>0</v>
      </c>
      <c r="E62" s="18">
        <f t="shared" si="3"/>
        <v>0</v>
      </c>
      <c r="F62" s="19">
        <v>3</v>
      </c>
      <c r="G62" s="17">
        <v>6</v>
      </c>
      <c r="H62" s="17">
        <f>VLOOKUP(A62,'[2]2017'!$B:$D,3,FALSE)</f>
        <v>8</v>
      </c>
      <c r="I62" s="20">
        <f t="shared" si="4"/>
        <v>5.666666666666667</v>
      </c>
      <c r="J62" s="21" t="s">
        <v>98</v>
      </c>
      <c r="K62" s="22">
        <v>333971</v>
      </c>
      <c r="L62" s="22">
        <v>337776</v>
      </c>
      <c r="M62" s="22">
        <v>350576</v>
      </c>
      <c r="N62" s="22">
        <f t="shared" si="0"/>
        <v>340774.33333333331</v>
      </c>
      <c r="O62" s="17">
        <v>199</v>
      </c>
      <c r="P62" s="17">
        <v>155</v>
      </c>
      <c r="Q62" s="17">
        <v>209</v>
      </c>
      <c r="R62" s="20">
        <f t="shared" si="1"/>
        <v>187.66666666666666</v>
      </c>
      <c r="S62" s="23">
        <v>45.325474243493424</v>
      </c>
      <c r="U62" s="33">
        <f>IF(T62="Change",INDEX('FY21 wRVU Changes'!$E:$E,MATCH(Specialty!J62,'FY21 wRVU Changes'!$C:$C,0)),INDEX('Specialty Lookup'!$B:$B,MATCH(Specialty!J62,'Specialty Lookup'!$A:$A,0)))</f>
        <v>38.91984010098885</v>
      </c>
      <c r="V62" s="15">
        <f>IFERROR(VLOOKUP(A57,'Count of Providers as of Jan 18'!A:B,2,FALSE),0)</f>
        <v>15</v>
      </c>
      <c r="W62" s="32">
        <f t="shared" si="2"/>
        <v>6.4056341425045744</v>
      </c>
    </row>
    <row r="63" spans="1:23">
      <c r="A63" s="16" t="s">
        <v>103</v>
      </c>
      <c r="B63" s="17" t="s">
        <v>50</v>
      </c>
      <c r="C63" s="17" t="s">
        <v>50</v>
      </c>
      <c r="D63" s="17">
        <f>VLOOKUP(A63,'[2]2017'!$B:$I,8,FALSE)</f>
        <v>0</v>
      </c>
      <c r="E63" s="18">
        <f t="shared" si="3"/>
        <v>0</v>
      </c>
      <c r="F63" s="19">
        <v>3</v>
      </c>
      <c r="G63" s="17">
        <v>2</v>
      </c>
      <c r="H63" s="17">
        <f>VLOOKUP(A63,'[2]2017'!$B:$D,3,FALSE)</f>
        <v>4</v>
      </c>
      <c r="I63" s="20">
        <f t="shared" si="4"/>
        <v>3</v>
      </c>
      <c r="J63" s="21" t="s">
        <v>99</v>
      </c>
      <c r="K63" s="22">
        <v>259395</v>
      </c>
      <c r="L63" s="22">
        <v>226639</v>
      </c>
      <c r="M63" s="22">
        <v>226358</v>
      </c>
      <c r="N63" s="22">
        <f t="shared" si="0"/>
        <v>237464</v>
      </c>
      <c r="O63" s="17">
        <v>191</v>
      </c>
      <c r="P63" s="17">
        <v>74</v>
      </c>
      <c r="Q63" s="17">
        <v>121</v>
      </c>
      <c r="R63" s="20">
        <f t="shared" si="1"/>
        <v>128.66666666666666</v>
      </c>
      <c r="S63" s="23">
        <v>35.088406301247332</v>
      </c>
      <c r="U63" s="33">
        <f>IF(T63="Change",INDEX('FY21 wRVU Changes'!$E:$E,MATCH(Specialty!J63,'FY21 wRVU Changes'!$C:$C,0)),INDEX('Specialty Lookup'!$B:$B,MATCH(Specialty!J63,'Specialty Lookup'!$A:$A,0)))</f>
        <v>46.890722591783884</v>
      </c>
      <c r="V63" s="15">
        <f>IFERROR(VLOOKUP(A58,'Count of Providers as of Jan 18'!A:B,2,FALSE),0)</f>
        <v>4</v>
      </c>
      <c r="W63" s="32">
        <f t="shared" si="2"/>
        <v>-11.802316290536552</v>
      </c>
    </row>
    <row r="64" spans="1:23">
      <c r="A64" s="16" t="s">
        <v>104</v>
      </c>
      <c r="B64" s="17">
        <v>2912</v>
      </c>
      <c r="C64" s="17">
        <v>3151</v>
      </c>
      <c r="D64" s="17">
        <f>VLOOKUP(A64,'[2]2017'!$B:$I,8,FALSE)</f>
        <v>4750</v>
      </c>
      <c r="E64" s="18">
        <f t="shared" si="3"/>
        <v>3604.3333333333335</v>
      </c>
      <c r="F64" s="19">
        <v>34</v>
      </c>
      <c r="G64" s="17">
        <v>14</v>
      </c>
      <c r="H64" s="17">
        <f>VLOOKUP(A64,'[2]2017'!$B:$D,3,FALSE)</f>
        <v>30</v>
      </c>
      <c r="I64" s="20">
        <f t="shared" si="4"/>
        <v>26</v>
      </c>
      <c r="J64" s="21" t="s">
        <v>100</v>
      </c>
      <c r="K64" s="22">
        <v>231820</v>
      </c>
      <c r="L64" s="22">
        <v>265159</v>
      </c>
      <c r="M64" s="22">
        <v>242785</v>
      </c>
      <c r="N64" s="22">
        <f t="shared" si="0"/>
        <v>246588</v>
      </c>
      <c r="O64" s="17">
        <v>64</v>
      </c>
      <c r="P64" s="17">
        <v>63</v>
      </c>
      <c r="Q64" s="17">
        <v>91</v>
      </c>
      <c r="R64" s="20">
        <f t="shared" si="1"/>
        <v>72.666666666666671</v>
      </c>
      <c r="S64" s="23">
        <v>46.560119681525435</v>
      </c>
      <c r="U64" s="33">
        <f>IF(T64="Change",INDEX('FY21 wRVU Changes'!$E:$E,MATCH(Specialty!J64,'FY21 wRVU Changes'!$C:$C,0)),INDEX('Specialty Lookup'!$B:$B,MATCH(Specialty!J64,'Specialty Lookup'!$A:$A,0)))</f>
        <v>38.91984010098885</v>
      </c>
      <c r="V64" s="15">
        <f>IFERROR(VLOOKUP(A59,'Count of Providers as of Jan 18'!A:B,2,FALSE),0)</f>
        <v>0</v>
      </c>
      <c r="W64" s="32">
        <f t="shared" si="2"/>
        <v>7.6402795805365855</v>
      </c>
    </row>
    <row r="65" spans="1:23">
      <c r="A65" s="16" t="s">
        <v>105</v>
      </c>
      <c r="B65" s="17">
        <v>8210</v>
      </c>
      <c r="C65" s="17">
        <v>6776</v>
      </c>
      <c r="D65" s="17">
        <f>VLOOKUP(A65,'[2]2017'!$B:$I,8,FALSE)</f>
        <v>0</v>
      </c>
      <c r="E65" s="18">
        <f t="shared" si="3"/>
        <v>4995.333333333333</v>
      </c>
      <c r="F65" s="19">
        <v>10</v>
      </c>
      <c r="G65" s="17">
        <v>13</v>
      </c>
      <c r="H65" s="17">
        <f>VLOOKUP(A65,'[2]2017'!$B:$D,3,FALSE)</f>
        <v>8</v>
      </c>
      <c r="I65" s="20">
        <f t="shared" si="4"/>
        <v>10.333333333333334</v>
      </c>
      <c r="J65" s="21" t="s">
        <v>101</v>
      </c>
      <c r="K65" s="22">
        <v>199991</v>
      </c>
      <c r="L65" s="22" t="s">
        <v>50</v>
      </c>
      <c r="M65" s="22">
        <v>0</v>
      </c>
      <c r="N65" s="22">
        <f t="shared" si="0"/>
        <v>99995.5</v>
      </c>
      <c r="O65" s="17">
        <v>12</v>
      </c>
      <c r="P65" s="17">
        <v>9</v>
      </c>
      <c r="Q65" s="17">
        <v>7</v>
      </c>
      <c r="R65" s="20">
        <f t="shared" si="1"/>
        <v>9.3333333333333339</v>
      </c>
      <c r="S65" s="23">
        <v>35.088406301247332</v>
      </c>
      <c r="U65" s="33">
        <f>IF(T65="Change",INDEX('FY21 wRVU Changes'!$E:$E,MATCH(Specialty!J65,'FY21 wRVU Changes'!$C:$C,0)),INDEX('Specialty Lookup'!$B:$B,MATCH(Specialty!J65,'Specialty Lookup'!$A:$A,0)))</f>
        <v>38.91984010098885</v>
      </c>
      <c r="V65" s="15">
        <f>IFERROR(VLOOKUP(A60,'Count of Providers as of Jan 18'!A:B,2,FALSE),0)</f>
        <v>2</v>
      </c>
      <c r="W65" s="32">
        <f t="shared" si="2"/>
        <v>-3.831433799741518</v>
      </c>
    </row>
    <row r="66" spans="1:23">
      <c r="A66" s="16" t="str">
        <f>J71</f>
        <v>Pathology: Surgical</v>
      </c>
      <c r="F66" s="19"/>
      <c r="I66" s="20"/>
      <c r="J66" s="21" t="s">
        <v>102</v>
      </c>
      <c r="K66" s="22">
        <v>253427</v>
      </c>
      <c r="L66" s="22">
        <v>258692</v>
      </c>
      <c r="M66" s="22">
        <v>0</v>
      </c>
      <c r="N66" s="22">
        <f t="shared" si="0"/>
        <v>170706.33333333334</v>
      </c>
      <c r="O66" s="17">
        <v>10</v>
      </c>
      <c r="P66" s="17">
        <v>14</v>
      </c>
      <c r="Q66" s="17">
        <v>8</v>
      </c>
      <c r="R66" s="20">
        <f t="shared" si="1"/>
        <v>10.666666666666666</v>
      </c>
      <c r="S66" s="23">
        <v>35.088406301247332</v>
      </c>
      <c r="U66" s="33">
        <f>IF(T66="Change",INDEX('FY21 wRVU Changes'!$E:$E,MATCH(Specialty!J66,'FY21 wRVU Changes'!$C:$C,0)),INDEX('Specialty Lookup'!$B:$B,MATCH(Specialty!J66,'Specialty Lookup'!$A:$A,0)))</f>
        <v>38.91984010098885</v>
      </c>
      <c r="V66" s="15">
        <f>IFERROR(VLOOKUP(A61,'Count of Providers as of Jan 18'!A:B,2,FALSE),0)</f>
        <v>2</v>
      </c>
      <c r="W66" s="32">
        <f t="shared" si="2"/>
        <v>-3.831433799741518</v>
      </c>
    </row>
    <row r="67" spans="1:23">
      <c r="A67" s="16" t="s">
        <v>106</v>
      </c>
      <c r="B67" s="17">
        <v>7467</v>
      </c>
      <c r="C67" s="17">
        <v>6625</v>
      </c>
      <c r="D67" s="17">
        <f>VLOOKUP(A67,'[2]2017'!$B:$I,8,FALSE)</f>
        <v>9778</v>
      </c>
      <c r="E67" s="18">
        <f>IFERROR(AVERAGE(B67:D67),0)</f>
        <v>7956.666666666667</v>
      </c>
      <c r="F67" s="19">
        <v>36</v>
      </c>
      <c r="G67" s="17">
        <v>59</v>
      </c>
      <c r="H67" s="17">
        <f>VLOOKUP(A67,'[2]2017'!$B:$D,3,FALSE)</f>
        <v>25</v>
      </c>
      <c r="I67" s="20">
        <f>AVERAGE(F67:H67)</f>
        <v>40</v>
      </c>
      <c r="J67" s="21" t="s">
        <v>103</v>
      </c>
      <c r="K67" s="22">
        <v>216900</v>
      </c>
      <c r="L67" s="22">
        <v>224300</v>
      </c>
      <c r="M67" s="22">
        <v>236629</v>
      </c>
      <c r="N67" s="22">
        <f t="shared" si="0"/>
        <v>225943</v>
      </c>
      <c r="O67" s="17">
        <v>15</v>
      </c>
      <c r="P67" s="17">
        <v>16</v>
      </c>
      <c r="Q67" s="17">
        <v>11</v>
      </c>
      <c r="R67" s="20">
        <f t="shared" si="1"/>
        <v>14</v>
      </c>
      <c r="S67" s="23">
        <v>35.088406301247332</v>
      </c>
      <c r="U67" s="33">
        <f>IF(T67="Change",INDEX('FY21 wRVU Changes'!$E:$E,MATCH(Specialty!J67,'FY21 wRVU Changes'!$C:$C,0)),INDEX('Specialty Lookup'!$B:$B,MATCH(Specialty!J67,'Specialty Lookup'!$A:$A,0)))</f>
        <v>38.91984010098885</v>
      </c>
      <c r="V67" s="15">
        <f>IFERROR(VLOOKUP(A62,'Count of Providers as of Jan 18'!A:B,2,FALSE),0)</f>
        <v>2</v>
      </c>
      <c r="W67" s="32">
        <f t="shared" si="2"/>
        <v>-3.831433799741518</v>
      </c>
    </row>
    <row r="68" spans="1:23">
      <c r="A68" s="16" t="s">
        <v>107</v>
      </c>
      <c r="B68" s="17">
        <v>2822</v>
      </c>
      <c r="C68" s="17">
        <v>3252</v>
      </c>
      <c r="D68" s="17">
        <f>VLOOKUP(A68,'[2]2017'!$B:$I,8,FALSE)</f>
        <v>3478</v>
      </c>
      <c r="E68" s="18">
        <f>IFERROR(AVERAGE(B68:D68),0)</f>
        <v>3184</v>
      </c>
      <c r="F68" s="19">
        <v>12</v>
      </c>
      <c r="G68" s="17">
        <v>10</v>
      </c>
      <c r="H68" s="17">
        <f>VLOOKUP(A68,'[2]2017'!$B:$D,3,FALSE)</f>
        <v>17</v>
      </c>
      <c r="I68" s="20">
        <f>AVERAGE(F68:H68)</f>
        <v>13</v>
      </c>
      <c r="J68" s="21" t="s">
        <v>104</v>
      </c>
      <c r="K68" s="22" t="s">
        <v>50</v>
      </c>
      <c r="L68" s="22" t="s">
        <v>50</v>
      </c>
      <c r="M68" s="22">
        <v>0</v>
      </c>
      <c r="N68" s="22">
        <f t="shared" si="0"/>
        <v>0</v>
      </c>
      <c r="O68" s="17">
        <v>7</v>
      </c>
      <c r="P68" s="17">
        <v>4</v>
      </c>
      <c r="Q68" s="17">
        <v>4</v>
      </c>
      <c r="R68" s="20">
        <f t="shared" si="1"/>
        <v>5</v>
      </c>
      <c r="S68" s="23">
        <v>35.088406301247332</v>
      </c>
      <c r="U68" s="33">
        <f>IF(T68="Change",INDEX('FY21 wRVU Changes'!$E:$E,MATCH(Specialty!J68,'FY21 wRVU Changes'!$C:$C,0)),INDEX('Specialty Lookup'!$B:$B,MATCH(Specialty!J68,'Specialty Lookup'!$A:$A,0)))</f>
        <v>62.10655153996796</v>
      </c>
      <c r="V68" s="15">
        <f>IFERROR(VLOOKUP(A63,'Count of Providers as of Jan 18'!A:B,2,FALSE),0)</f>
        <v>3</v>
      </c>
      <c r="W68" s="32">
        <f t="shared" si="2"/>
        <v>-27.018145238720628</v>
      </c>
    </row>
    <row r="69" spans="1:23">
      <c r="A69" s="16" t="s">
        <v>108</v>
      </c>
      <c r="B69" s="17">
        <v>3741</v>
      </c>
      <c r="C69" s="17">
        <v>4201</v>
      </c>
      <c r="D69" s="17">
        <f>VLOOKUP(A69,'[2]2017'!$B:$I,8,FALSE)</f>
        <v>3505</v>
      </c>
      <c r="E69" s="18">
        <f>IFERROR(AVERAGE(B69:D69),0)</f>
        <v>3815.6666666666665</v>
      </c>
      <c r="F69" s="19">
        <v>22</v>
      </c>
      <c r="G69" s="17">
        <v>15</v>
      </c>
      <c r="H69" s="17">
        <f>VLOOKUP(A69,'[2]2017'!$B:$D,3,FALSE)</f>
        <v>10</v>
      </c>
      <c r="I69" s="20">
        <f>AVERAGE(F69:H69)</f>
        <v>15.666666666666666</v>
      </c>
      <c r="J69" s="21" t="s">
        <v>105</v>
      </c>
      <c r="K69" s="22">
        <v>191652</v>
      </c>
      <c r="L69" s="22">
        <v>206538</v>
      </c>
      <c r="M69" s="22">
        <v>218413</v>
      </c>
      <c r="N69" s="22">
        <f t="shared" si="0"/>
        <v>205534.33333333334</v>
      </c>
      <c r="O69" s="17">
        <v>102</v>
      </c>
      <c r="P69" s="17">
        <v>57</v>
      </c>
      <c r="Q69" s="17">
        <v>105</v>
      </c>
      <c r="R69" s="20">
        <f t="shared" si="1"/>
        <v>88</v>
      </c>
      <c r="S69" s="23">
        <v>65.141092959937765</v>
      </c>
      <c r="U69" s="33">
        <f>IF(T69="Change",INDEX('FY21 wRVU Changes'!$E:$E,MATCH(Specialty!J69,'FY21 wRVU Changes'!$C:$C,0)),INDEX('Specialty Lookup'!$B:$B,MATCH(Specialty!J69,'Specialty Lookup'!$A:$A,0)))</f>
        <v>38.91984010098885</v>
      </c>
      <c r="V69" s="15">
        <f>IFERROR(VLOOKUP(A64,'Count of Providers as of Jan 18'!A:B,2,FALSE),0)</f>
        <v>8</v>
      </c>
      <c r="W69" s="32">
        <f t="shared" si="2"/>
        <v>26.221252858948915</v>
      </c>
    </row>
    <row r="70" spans="1:23">
      <c r="A70" s="16" t="str">
        <f>J75</f>
        <v>Pediatrics: Cardiology</v>
      </c>
      <c r="F70" s="19"/>
      <c r="I70" s="20"/>
      <c r="J70" s="21" t="s">
        <v>243</v>
      </c>
      <c r="K70" s="22">
        <v>255000</v>
      </c>
      <c r="L70" s="22">
        <v>213277</v>
      </c>
      <c r="M70" s="22">
        <v>212000</v>
      </c>
      <c r="N70" s="22">
        <f t="shared" si="0"/>
        <v>226759</v>
      </c>
      <c r="O70" s="17">
        <v>13</v>
      </c>
      <c r="P70" s="17">
        <v>18</v>
      </c>
      <c r="Q70" s="17">
        <v>17</v>
      </c>
      <c r="R70" s="20">
        <f t="shared" si="1"/>
        <v>16</v>
      </c>
      <c r="S70" s="23">
        <v>35.088406301247332</v>
      </c>
      <c r="U70" s="33">
        <f>IF(T70="Change",INDEX('FY21 wRVU Changes'!$E:$E,MATCH(Specialty!J70,'FY21 wRVU Changes'!$C:$C,0)),INDEX('Specialty Lookup'!$B:$B,MATCH(Specialty!J70,'Specialty Lookup'!$A:$A,0)))</f>
        <v>62.10655153996796</v>
      </c>
      <c r="V70" s="15">
        <f>IFERROR(VLOOKUP(A65,'Count of Providers as of Jan 18'!A:B,2,FALSE),0)</f>
        <v>5</v>
      </c>
      <c r="W70" s="32">
        <f t="shared" si="2"/>
        <v>-27.018145238720628</v>
      </c>
    </row>
    <row r="71" spans="1:23">
      <c r="A71" s="16" t="s">
        <v>110</v>
      </c>
      <c r="B71" s="17" t="s">
        <v>50</v>
      </c>
      <c r="C71" s="17" t="s">
        <v>50</v>
      </c>
      <c r="D71" s="17">
        <f>VLOOKUP(A71,'[2]2017'!$B:$I,8,FALSE)</f>
        <v>0</v>
      </c>
      <c r="E71" s="18">
        <f>IFERROR(AVERAGE(B71:D71),0)</f>
        <v>0</v>
      </c>
      <c r="F71" s="19">
        <v>4</v>
      </c>
      <c r="G71" s="17">
        <v>3</v>
      </c>
      <c r="H71" s="17">
        <f>VLOOKUP(A71,'[2]2017'!$B:$D,3,FALSE)</f>
        <v>4</v>
      </c>
      <c r="I71" s="20">
        <f>AVERAGE(F71:H71)</f>
        <v>3.6666666666666665</v>
      </c>
      <c r="J71" s="21" t="s">
        <v>106</v>
      </c>
      <c r="K71" s="22">
        <v>230250</v>
      </c>
      <c r="L71" s="22">
        <v>214163</v>
      </c>
      <c r="M71" s="22">
        <v>209040</v>
      </c>
      <c r="N71" s="22">
        <f t="shared" si="0"/>
        <v>217817.66666666666</v>
      </c>
      <c r="O71" s="17">
        <v>10</v>
      </c>
      <c r="P71" s="17">
        <v>11</v>
      </c>
      <c r="Q71" s="17">
        <v>11</v>
      </c>
      <c r="R71" s="20">
        <f t="shared" si="1"/>
        <v>10.666666666666666</v>
      </c>
      <c r="S71" s="23">
        <v>24.688799650113317</v>
      </c>
      <c r="U71" s="33">
        <f>IF(T71="Change",INDEX('FY21 wRVU Changes'!$E:$E,MATCH(Specialty!J71,'FY21 wRVU Changes'!$C:$C,0)),INDEX('Specialty Lookup'!$B:$B,MATCH(Specialty!J71,'Specialty Lookup'!$A:$A,0)))</f>
        <v>25.756625246310371</v>
      </c>
      <c r="V71" s="15">
        <f>IFERROR(VLOOKUP(A66,'Count of Providers as of Jan 18'!A:B,2,FALSE),0)</f>
        <v>9</v>
      </c>
      <c r="W71" s="32">
        <f t="shared" si="2"/>
        <v>-1.0678255961970535</v>
      </c>
    </row>
    <row r="72" spans="1:23">
      <c r="A72" s="16" t="s">
        <v>111</v>
      </c>
      <c r="B72" s="17">
        <v>4737</v>
      </c>
      <c r="C72" s="17">
        <v>5258</v>
      </c>
      <c r="D72" s="17">
        <f>VLOOKUP(A72,'[2]2017'!$B:$I,8,FALSE)</f>
        <v>5279</v>
      </c>
      <c r="E72" s="18">
        <f>IFERROR(AVERAGE(B72:D72),0)</f>
        <v>5091.333333333333</v>
      </c>
      <c r="F72" s="19">
        <v>147</v>
      </c>
      <c r="G72" s="17">
        <v>90</v>
      </c>
      <c r="H72" s="17">
        <f>VLOOKUP(A72,'[2]2017'!$B:$D,3,FALSE)</f>
        <v>106</v>
      </c>
      <c r="I72" s="20">
        <f>AVERAGE(F72:H72)</f>
        <v>114.33333333333333</v>
      </c>
      <c r="J72" s="21" t="s">
        <v>107</v>
      </c>
      <c r="K72" s="22">
        <v>207948</v>
      </c>
      <c r="L72" s="22">
        <v>218483</v>
      </c>
      <c r="M72" s="22">
        <v>196465</v>
      </c>
      <c r="N72" s="22">
        <f t="shared" ref="N72:N134" si="5">IFERROR(AVERAGE(K72:M72),0)</f>
        <v>207632</v>
      </c>
      <c r="O72" s="17">
        <v>82</v>
      </c>
      <c r="P72" s="17">
        <v>69</v>
      </c>
      <c r="Q72" s="17">
        <v>28</v>
      </c>
      <c r="R72" s="20">
        <f t="shared" ref="R72:R134" si="6">AVERAGE(O72:Q72)</f>
        <v>59.666666666666664</v>
      </c>
      <c r="S72" s="23">
        <v>54.732222800624683</v>
      </c>
      <c r="U72" s="33">
        <f>IF(T72="Change",INDEX('FY21 wRVU Changes'!$E:$E,MATCH(Specialty!J72,'FY21 wRVU Changes'!$C:$C,0)),INDEX('Specialty Lookup'!$B:$B,MATCH(Specialty!J72,'Specialty Lookup'!$A:$A,0)))</f>
        <v>72.475013220518235</v>
      </c>
      <c r="V72" s="15">
        <f>IFERROR(VLOOKUP(A67,'Count of Providers as of Jan 18'!A:B,2,FALSE),0)</f>
        <v>9</v>
      </c>
      <c r="W72" s="32">
        <f t="shared" ref="W72:W135" si="7">S72-U72</f>
        <v>-17.742790419893552</v>
      </c>
    </row>
    <row r="73" spans="1:23">
      <c r="A73" s="16" t="s">
        <v>112</v>
      </c>
      <c r="B73" s="17" t="s">
        <v>50</v>
      </c>
      <c r="C73" s="17" t="s">
        <v>50</v>
      </c>
      <c r="D73" s="17">
        <f>VLOOKUP(A73,'[2]2017'!$B:$I,8,FALSE)</f>
        <v>9937</v>
      </c>
      <c r="E73" s="18">
        <f>IFERROR(AVERAGE(B73:D73),0)</f>
        <v>9937</v>
      </c>
      <c r="F73" s="19">
        <v>9</v>
      </c>
      <c r="G73" s="17">
        <v>4</v>
      </c>
      <c r="H73" s="17">
        <f>VLOOKUP(A73,'[2]2017'!$B:$D,3,FALSE)</f>
        <v>18</v>
      </c>
      <c r="I73" s="20">
        <f>AVERAGE(F73:H73)</f>
        <v>10.333333333333334</v>
      </c>
      <c r="J73" s="21" t="s">
        <v>108</v>
      </c>
      <c r="K73" s="22">
        <v>153830</v>
      </c>
      <c r="L73" s="22">
        <v>161801</v>
      </c>
      <c r="M73" s="22">
        <v>161083</v>
      </c>
      <c r="N73" s="22">
        <f t="shared" si="5"/>
        <v>158904.66666666666</v>
      </c>
      <c r="O73" s="17">
        <v>39</v>
      </c>
      <c r="P73" s="17">
        <v>31</v>
      </c>
      <c r="Q73" s="17">
        <v>28</v>
      </c>
      <c r="R73" s="20">
        <f t="shared" si="6"/>
        <v>32.666666666666664</v>
      </c>
      <c r="S73" s="23">
        <v>47.224978831498731</v>
      </c>
      <c r="U73" s="33">
        <f>IF(T73="Change",INDEX('FY21 wRVU Changes'!$E:$E,MATCH(Specialty!J73,'FY21 wRVU Changes'!$C:$C,0)),INDEX('Specialty Lookup'!$B:$B,MATCH(Specialty!J73,'Specialty Lookup'!$A:$A,0)))</f>
        <v>67.160731021555762</v>
      </c>
      <c r="V73" s="15">
        <f>IFERROR(VLOOKUP(A68,'Count of Providers as of Jan 18'!A:B,2,FALSE),0)</f>
        <v>0</v>
      </c>
      <c r="W73" s="32">
        <f t="shared" si="7"/>
        <v>-19.93575219005703</v>
      </c>
    </row>
    <row r="74" spans="1:23">
      <c r="A74" s="16" t="s">
        <v>113</v>
      </c>
      <c r="B74" s="17">
        <v>2839</v>
      </c>
      <c r="C74" s="17">
        <v>1972</v>
      </c>
      <c r="D74" s="17">
        <f>VLOOKUP(A74,'[2]2017'!$B:$I,8,FALSE)</f>
        <v>2295</v>
      </c>
      <c r="E74" s="18">
        <f>IFERROR(AVERAGE(B74:D74),0)</f>
        <v>2368.6666666666665</v>
      </c>
      <c r="F74" s="19">
        <v>23</v>
      </c>
      <c r="G74" s="17">
        <v>14</v>
      </c>
      <c r="H74" s="17">
        <f>VLOOKUP(A74,'[2]2017'!$B:$D,3,FALSE)</f>
        <v>22</v>
      </c>
      <c r="I74" s="20">
        <f>AVERAGE(F74:H74)</f>
        <v>19.666666666666668</v>
      </c>
      <c r="J74" s="21" t="s">
        <v>110</v>
      </c>
      <c r="K74" s="22">
        <v>187430</v>
      </c>
      <c r="L74" s="22">
        <v>169483</v>
      </c>
      <c r="M74" s="22">
        <v>180026</v>
      </c>
      <c r="N74" s="22">
        <f t="shared" si="5"/>
        <v>178979.66666666666</v>
      </c>
      <c r="O74" s="17">
        <v>68</v>
      </c>
      <c r="P74" s="17">
        <v>30</v>
      </c>
      <c r="Q74" s="17">
        <v>35</v>
      </c>
      <c r="R74" s="20">
        <f t="shared" si="6"/>
        <v>44.333333333333336</v>
      </c>
      <c r="S74" s="23">
        <v>54.37</v>
      </c>
      <c r="U74" s="33">
        <f>IF(T74="Change",INDEX('FY21 wRVU Changes'!$E:$E,MATCH(Specialty!J74,'FY21 wRVU Changes'!$C:$C,0)),INDEX('Specialty Lookup'!$B:$B,MATCH(Specialty!J74,'Specialty Lookup'!$A:$A,0)))</f>
        <v>46.947245228664023</v>
      </c>
      <c r="V74" s="15">
        <f>IFERROR(VLOOKUP(A69,'Count of Providers as of Jan 18'!A:B,2,FALSE),0)</f>
        <v>6</v>
      </c>
      <c r="W74" s="32">
        <f t="shared" si="7"/>
        <v>7.4227547713359741</v>
      </c>
    </row>
    <row r="75" spans="1:23">
      <c r="A75" s="16" t="str">
        <f>J80</f>
        <v>Pediatrics: Emergency Medicine</v>
      </c>
      <c r="F75" s="19"/>
      <c r="I75" s="20"/>
      <c r="J75" s="21" t="s">
        <v>111</v>
      </c>
      <c r="K75" s="22">
        <v>350000</v>
      </c>
      <c r="L75" s="22">
        <v>371992</v>
      </c>
      <c r="M75" s="22">
        <v>373705</v>
      </c>
      <c r="N75" s="22">
        <f t="shared" si="5"/>
        <v>365232.33333333331</v>
      </c>
      <c r="O75" s="17">
        <v>107</v>
      </c>
      <c r="P75" s="17">
        <v>61</v>
      </c>
      <c r="Q75" s="17">
        <v>114</v>
      </c>
      <c r="R75" s="20">
        <f t="shared" si="6"/>
        <v>94</v>
      </c>
      <c r="S75" s="23">
        <v>35.341879746394483</v>
      </c>
      <c r="U75" s="33">
        <f>IF(T75="Change",INDEX('FY21 wRVU Changes'!$E:$E,MATCH(Specialty!J75,'FY21 wRVU Changes'!$C:$C,0)),INDEX('Specialty Lookup'!$B:$B,MATCH(Specialty!J75,'Specialty Lookup'!$A:$A,0)))</f>
        <v>69.116073339516305</v>
      </c>
      <c r="V75" s="15">
        <f>IFERROR(VLOOKUP(A70,'Count of Providers as of Jan 18'!A:B,2,FALSE),0)</f>
        <v>9</v>
      </c>
      <c r="W75" s="32">
        <f t="shared" si="7"/>
        <v>-33.774193593121822</v>
      </c>
    </row>
    <row r="76" spans="1:23">
      <c r="A76" s="16" t="s">
        <v>114</v>
      </c>
      <c r="B76" s="17">
        <v>6697</v>
      </c>
      <c r="C76" s="17">
        <v>7865</v>
      </c>
      <c r="D76" s="17">
        <f>VLOOKUP(A76,'[2]2017'!$B:$I,8,FALSE)</f>
        <v>6338</v>
      </c>
      <c r="E76" s="18">
        <f t="shared" ref="E76:E105" si="8">IFERROR(AVERAGE(B76:D76),0)</f>
        <v>6966.666666666667</v>
      </c>
      <c r="F76" s="19">
        <v>72</v>
      </c>
      <c r="G76" s="17">
        <v>34</v>
      </c>
      <c r="H76" s="17">
        <f>VLOOKUP(A76,'[2]2017'!$B:$D,3,FALSE)</f>
        <v>74</v>
      </c>
      <c r="I76" s="20">
        <f t="shared" ref="I76:I105" si="9">AVERAGE(F76:H76)</f>
        <v>60</v>
      </c>
      <c r="J76" s="21" t="s">
        <v>112</v>
      </c>
      <c r="K76" s="22">
        <v>209633</v>
      </c>
      <c r="L76" s="22" t="s">
        <v>50</v>
      </c>
      <c r="M76" s="22">
        <v>0</v>
      </c>
      <c r="N76" s="22">
        <f t="shared" si="5"/>
        <v>104816.5</v>
      </c>
      <c r="O76" s="17">
        <v>17</v>
      </c>
      <c r="P76" s="17">
        <v>4</v>
      </c>
      <c r="Q76" s="17">
        <v>12</v>
      </c>
      <c r="R76" s="20">
        <f t="shared" si="6"/>
        <v>11</v>
      </c>
      <c r="S76" s="23">
        <v>51.47819325174116</v>
      </c>
      <c r="T76" s="63" t="s">
        <v>236</v>
      </c>
      <c r="U76" s="33">
        <f>IF(T76="Change",INDEX('FY21 wRVU Changes'!$E:$E,MATCH(Specialty!J76,'FY21 wRVU Changes'!$C:$C,0)),INDEX('Specialty Lookup'!$B:$B,MATCH(Specialty!J76,'Specialty Lookup'!$A:$A,0)))</f>
        <v>80.28</v>
      </c>
      <c r="V76" s="15">
        <f>IFERROR(VLOOKUP(A71,'Count of Providers as of Jan 18'!A:B,2,FALSE),0)</f>
        <v>0</v>
      </c>
      <c r="W76" s="32">
        <f t="shared" si="7"/>
        <v>-28.801806748258841</v>
      </c>
    </row>
    <row r="77" spans="1:23">
      <c r="A77" s="16" t="s">
        <v>115</v>
      </c>
      <c r="B77" s="17" t="s">
        <v>50</v>
      </c>
      <c r="C77" s="17" t="s">
        <v>50</v>
      </c>
      <c r="D77" s="17">
        <f>VLOOKUP(A77,'[2]2017'!$B:$I,8,FALSE)</f>
        <v>0</v>
      </c>
      <c r="E77" s="18">
        <f t="shared" si="8"/>
        <v>0</v>
      </c>
      <c r="F77" s="19">
        <v>7</v>
      </c>
      <c r="G77" s="17">
        <v>3</v>
      </c>
      <c r="H77" s="17">
        <f>VLOOKUP(A77,'[2]2017'!$B:$D,3,FALSE)</f>
        <v>5</v>
      </c>
      <c r="I77" s="20">
        <f t="shared" si="9"/>
        <v>5</v>
      </c>
      <c r="J77" s="21" t="s">
        <v>113</v>
      </c>
      <c r="K77" s="22">
        <v>249287</v>
      </c>
      <c r="L77" s="22">
        <v>251500</v>
      </c>
      <c r="M77" s="22">
        <v>238591</v>
      </c>
      <c r="N77" s="22">
        <f t="shared" si="5"/>
        <v>246459.33333333334</v>
      </c>
      <c r="O77" s="17">
        <v>276</v>
      </c>
      <c r="P77" s="17">
        <v>207</v>
      </c>
      <c r="Q77" s="17">
        <v>192</v>
      </c>
      <c r="R77" s="20">
        <f t="shared" si="6"/>
        <v>225</v>
      </c>
      <c r="S77" s="23">
        <v>35.341879746394483</v>
      </c>
      <c r="T77" s="63"/>
      <c r="U77" s="33">
        <f>IF(T77="Change",INDEX('FY21 wRVU Changes'!$E:$E,MATCH(Specialty!J77,'FY21 wRVU Changes'!$C:$C,0)),INDEX('Specialty Lookup'!$B:$B,MATCH(Specialty!J77,'Specialty Lookup'!$A:$A,0)))</f>
        <v>82.628761003810283</v>
      </c>
      <c r="V77" s="15">
        <f>IFERROR(VLOOKUP(A72,'Count of Providers as of Jan 18'!A:B,2,FALSE),0)</f>
        <v>9</v>
      </c>
      <c r="W77" s="32">
        <f t="shared" si="7"/>
        <v>-47.2868812574158</v>
      </c>
    </row>
    <row r="78" spans="1:23">
      <c r="A78" s="16" t="s">
        <v>116</v>
      </c>
      <c r="B78" s="17">
        <v>6170</v>
      </c>
      <c r="C78" s="17">
        <v>6993</v>
      </c>
      <c r="D78" s="17">
        <f>VLOOKUP(A78,'[2]2017'!$B:$I,8,FALSE)</f>
        <v>6614</v>
      </c>
      <c r="E78" s="18">
        <f t="shared" si="8"/>
        <v>6592.333333333333</v>
      </c>
      <c r="F78" s="19">
        <v>57</v>
      </c>
      <c r="G78" s="17">
        <v>71</v>
      </c>
      <c r="H78" s="17">
        <f>VLOOKUP(A78,'[2]2017'!$B:$D,3,FALSE)</f>
        <v>60</v>
      </c>
      <c r="I78" s="20">
        <f t="shared" si="9"/>
        <v>62.666666666666664</v>
      </c>
      <c r="J78" s="21" t="s">
        <v>114</v>
      </c>
      <c r="K78" s="22">
        <v>516400</v>
      </c>
      <c r="L78" s="22">
        <v>642041</v>
      </c>
      <c r="M78" s="22">
        <v>494876</v>
      </c>
      <c r="N78" s="22">
        <f t="shared" si="5"/>
        <v>551105.66666666663</v>
      </c>
      <c r="O78" s="17">
        <v>15</v>
      </c>
      <c r="P78" s="17">
        <v>13</v>
      </c>
      <c r="Q78" s="17">
        <v>19</v>
      </c>
      <c r="R78" s="20">
        <f t="shared" si="6"/>
        <v>15.666666666666666</v>
      </c>
      <c r="S78" s="23">
        <v>71.897409926204602</v>
      </c>
      <c r="U78" s="33">
        <f>IF(T78="Change",INDEX('FY21 wRVU Changes'!$E:$E,MATCH(Specialty!J78,'FY21 wRVU Changes'!$C:$C,0)),INDEX('Specialty Lookup'!$B:$B,MATCH(Specialty!J78,'Specialty Lookup'!$A:$A,0)))</f>
        <v>51.564436183395294</v>
      </c>
      <c r="V78" s="15">
        <f>IFERROR(VLOOKUP(A73,'Count of Providers as of Jan 18'!A:B,2,FALSE),0)</f>
        <v>0</v>
      </c>
      <c r="W78" s="32">
        <f t="shared" si="7"/>
        <v>20.332973742809308</v>
      </c>
    </row>
    <row r="79" spans="1:23">
      <c r="A79" s="16" t="s">
        <v>117</v>
      </c>
      <c r="B79" s="17">
        <v>3167</v>
      </c>
      <c r="C79" s="17">
        <v>3877</v>
      </c>
      <c r="D79" s="17">
        <f>VLOOKUP(A79,'[2]2017'!$B:$I,8,FALSE)</f>
        <v>3499</v>
      </c>
      <c r="E79" s="18">
        <f t="shared" si="8"/>
        <v>3514.3333333333335</v>
      </c>
      <c r="F79" s="19">
        <v>43</v>
      </c>
      <c r="G79" s="17">
        <v>43</v>
      </c>
      <c r="H79" s="17">
        <f>VLOOKUP(A79,'[2]2017'!$B:$D,3,FALSE)</f>
        <v>52</v>
      </c>
      <c r="I79" s="20">
        <f t="shared" si="9"/>
        <v>46</v>
      </c>
      <c r="J79" s="21" t="s">
        <v>115</v>
      </c>
      <c r="K79" s="22">
        <v>162286</v>
      </c>
      <c r="L79" s="22">
        <v>158849</v>
      </c>
      <c r="M79" s="22">
        <v>160629</v>
      </c>
      <c r="N79" s="22">
        <f t="shared" si="5"/>
        <v>160588</v>
      </c>
      <c r="O79" s="17">
        <v>77</v>
      </c>
      <c r="P79" s="17">
        <v>62</v>
      </c>
      <c r="Q79" s="17">
        <v>43</v>
      </c>
      <c r="R79" s="20">
        <f t="shared" si="6"/>
        <v>60.666666666666664</v>
      </c>
      <c r="S79" s="23">
        <v>37.439371257485028</v>
      </c>
      <c r="T79" s="63" t="s">
        <v>236</v>
      </c>
      <c r="U79" s="33">
        <f>IF(T79="Change",INDEX('FY21 wRVU Changes'!$E:$E,MATCH(Specialty!J79,'FY21 wRVU Changes'!$C:$C,0)),INDEX('Specialty Lookup'!$B:$B,MATCH(Specialty!J79,'Specialty Lookup'!$A:$A,0)))</f>
        <v>81.3</v>
      </c>
      <c r="V79" s="15">
        <f>IFERROR(VLOOKUP(A74,'Count of Providers as of Jan 18'!A:B,2,FALSE),0)</f>
        <v>0</v>
      </c>
      <c r="W79" s="32">
        <f t="shared" si="7"/>
        <v>-43.860628742514969</v>
      </c>
    </row>
    <row r="80" spans="1:23">
      <c r="A80" s="16" t="s">
        <v>118</v>
      </c>
      <c r="B80" s="17">
        <v>4641</v>
      </c>
      <c r="C80" s="17">
        <v>4551</v>
      </c>
      <c r="D80" s="17">
        <f>VLOOKUP(A80,'[2]2017'!$B:$I,8,FALSE)</f>
        <v>4399</v>
      </c>
      <c r="E80" s="18">
        <f t="shared" si="8"/>
        <v>4530.333333333333</v>
      </c>
      <c r="F80" s="19">
        <v>85</v>
      </c>
      <c r="G80" s="17">
        <v>60</v>
      </c>
      <c r="H80" s="17">
        <f>VLOOKUP(A80,'[2]2017'!$B:$D,3,FALSE)</f>
        <v>59</v>
      </c>
      <c r="I80" s="20">
        <f t="shared" si="9"/>
        <v>68</v>
      </c>
      <c r="J80" s="21" t="s">
        <v>116</v>
      </c>
      <c r="K80" s="22" t="s">
        <v>50</v>
      </c>
      <c r="L80" s="22" t="s">
        <v>50</v>
      </c>
      <c r="M80" s="22" t="e">
        <v>#N/A</v>
      </c>
      <c r="N80" s="22">
        <f t="shared" si="5"/>
        <v>0</v>
      </c>
      <c r="O80" s="17">
        <v>1</v>
      </c>
      <c r="P80" s="17" t="s">
        <v>50</v>
      </c>
      <c r="Q80" s="17" t="e">
        <v>#N/A</v>
      </c>
      <c r="R80" s="20" t="e">
        <f t="shared" si="6"/>
        <v>#N/A</v>
      </c>
      <c r="S80" s="23">
        <v>48.44332570556827</v>
      </c>
      <c r="T80" s="63"/>
      <c r="U80" s="33">
        <f>IF(T80="Change",INDEX('FY21 wRVU Changes'!$E:$E,MATCH(Specialty!J80,'FY21 wRVU Changes'!$C:$C,0)),INDEX('Specialty Lookup'!$B:$B,MATCH(Specialty!J80,'Specialty Lookup'!$A:$A,0)))</f>
        <v>49.599237673010379</v>
      </c>
      <c r="V80" s="15">
        <f>IFERROR(VLOOKUP(A75,'Count of Providers as of Jan 18'!A:B,2,FALSE),0)</f>
        <v>8</v>
      </c>
      <c r="W80" s="32">
        <f t="shared" si="7"/>
        <v>-1.1559119674421083</v>
      </c>
    </row>
    <row r="81" spans="1:23">
      <c r="A81" s="16" t="s">
        <v>119</v>
      </c>
      <c r="B81" s="17">
        <v>4247</v>
      </c>
      <c r="C81" s="17">
        <v>4513</v>
      </c>
      <c r="D81" s="17">
        <f>VLOOKUP(A81,'[2]2017'!$B:$I,8,FALSE)</f>
        <v>5119</v>
      </c>
      <c r="E81" s="18">
        <f t="shared" si="8"/>
        <v>4626.333333333333</v>
      </c>
      <c r="F81" s="19">
        <v>105</v>
      </c>
      <c r="G81" s="17">
        <v>152</v>
      </c>
      <c r="H81" s="17">
        <f>VLOOKUP(A81,'[2]2017'!$B:$D,3,FALSE)</f>
        <v>182</v>
      </c>
      <c r="I81" s="20">
        <f t="shared" si="9"/>
        <v>146.33333333333334</v>
      </c>
      <c r="J81" s="21" t="s">
        <v>117</v>
      </c>
      <c r="K81" s="22">
        <v>230151</v>
      </c>
      <c r="L81" s="22">
        <v>249740</v>
      </c>
      <c r="M81" s="22">
        <v>247095</v>
      </c>
      <c r="N81" s="22">
        <f t="shared" si="5"/>
        <v>242328.66666666666</v>
      </c>
      <c r="O81" s="17">
        <v>153</v>
      </c>
      <c r="P81" s="17">
        <v>77</v>
      </c>
      <c r="Q81" s="17">
        <v>121</v>
      </c>
      <c r="R81" s="20">
        <f t="shared" si="6"/>
        <v>117</v>
      </c>
      <c r="S81" s="23">
        <v>36.678759417896586</v>
      </c>
      <c r="U81" s="33">
        <f>IF(T81="Change",INDEX('FY21 wRVU Changes'!$E:$E,MATCH(Specialty!J81,'FY21 wRVU Changes'!$C:$C,0)),INDEX('Specialty Lookup'!$B:$B,MATCH(Specialty!J81,'Specialty Lookup'!$A:$A,0)))</f>
        <v>68.202964710709892</v>
      </c>
      <c r="V81" s="15">
        <f>IFERROR(VLOOKUP(A76,'Count of Providers as of Jan 18'!A:B,2,FALSE),0)</f>
        <v>9</v>
      </c>
      <c r="W81" s="32">
        <f t="shared" si="7"/>
        <v>-31.524205292813306</v>
      </c>
    </row>
    <row r="82" spans="1:23">
      <c r="A82" s="16" t="s">
        <v>120</v>
      </c>
      <c r="B82" s="17">
        <v>1810</v>
      </c>
      <c r="C82" s="17">
        <v>2759</v>
      </c>
      <c r="D82" s="17">
        <f>VLOOKUP(A82,'[2]2017'!$B:$I,8,FALSE)</f>
        <v>1996</v>
      </c>
      <c r="E82" s="18">
        <f t="shared" si="8"/>
        <v>2188.3333333333335</v>
      </c>
      <c r="F82" s="19">
        <v>14</v>
      </c>
      <c r="G82" s="17">
        <v>12</v>
      </c>
      <c r="H82" s="17">
        <f>VLOOKUP(A82,'[2]2017'!$B:$D,3,FALSE)</f>
        <v>16</v>
      </c>
      <c r="I82" s="20">
        <f t="shared" si="9"/>
        <v>14</v>
      </c>
      <c r="J82" s="21" t="s">
        <v>118</v>
      </c>
      <c r="K82" s="22">
        <v>236500</v>
      </c>
      <c r="L82" s="22" t="s">
        <v>50</v>
      </c>
      <c r="M82" s="22">
        <v>328857</v>
      </c>
      <c r="N82" s="22">
        <f t="shared" si="5"/>
        <v>282678.5</v>
      </c>
      <c r="O82" s="17">
        <v>17</v>
      </c>
      <c r="P82" s="17">
        <v>3</v>
      </c>
      <c r="Q82" s="17">
        <v>10</v>
      </c>
      <c r="R82" s="20">
        <f t="shared" si="6"/>
        <v>10</v>
      </c>
      <c r="S82" s="23">
        <v>48.437795713888114</v>
      </c>
      <c r="U82" s="33">
        <f>IF(T82="Change",INDEX('FY21 wRVU Changes'!$E:$E,MATCH(Specialty!J82,'FY21 wRVU Changes'!$C:$C,0)),INDEX('Specialty Lookup'!$B:$B,MATCH(Specialty!J82,'Specialty Lookup'!$A:$A,0)))</f>
        <v>67.597048119692687</v>
      </c>
      <c r="V82" s="15">
        <f>IFERROR(VLOOKUP(A77,'Count of Providers as of Jan 18'!A:B,2,FALSE),0)</f>
        <v>3</v>
      </c>
      <c r="W82" s="32">
        <f t="shared" si="7"/>
        <v>-19.159252405804573</v>
      </c>
    </row>
    <row r="83" spans="1:23">
      <c r="A83" s="16" t="s">
        <v>121</v>
      </c>
      <c r="B83" s="17">
        <v>3060</v>
      </c>
      <c r="C83" s="17">
        <v>4170</v>
      </c>
      <c r="D83" s="17">
        <f>VLOOKUP(A83,'[2]2017'!$B:$I,8,FALSE)</f>
        <v>4245</v>
      </c>
      <c r="E83" s="18">
        <f t="shared" si="8"/>
        <v>3825</v>
      </c>
      <c r="F83" s="19">
        <v>67</v>
      </c>
      <c r="G83" s="17">
        <v>32</v>
      </c>
      <c r="H83" s="17">
        <f>VLOOKUP(A83,'[2]2017'!$B:$D,3,FALSE)</f>
        <v>47</v>
      </c>
      <c r="I83" s="20">
        <f t="shared" si="9"/>
        <v>48.666666666666664</v>
      </c>
      <c r="J83" s="21" t="s">
        <v>119</v>
      </c>
      <c r="K83" s="22">
        <v>215956</v>
      </c>
      <c r="L83" s="22">
        <v>229654</v>
      </c>
      <c r="M83" s="22">
        <v>232577</v>
      </c>
      <c r="N83" s="22">
        <f t="shared" si="5"/>
        <v>226062.33333333334</v>
      </c>
      <c r="O83" s="17">
        <v>188</v>
      </c>
      <c r="P83" s="17">
        <v>137</v>
      </c>
      <c r="Q83" s="17">
        <v>111</v>
      </c>
      <c r="R83" s="20">
        <f t="shared" si="6"/>
        <v>145.33333333333334</v>
      </c>
      <c r="S83" s="23">
        <v>50.035134517186187</v>
      </c>
      <c r="U83" s="33">
        <f>IF(T83="Change",INDEX('FY21 wRVU Changes'!$E:$E,MATCH(Specialty!J83,'FY21 wRVU Changes'!$C:$C,0)),INDEX('Specialty Lookup'!$B:$B,MATCH(Specialty!J83,'Specialty Lookup'!$A:$A,0)))</f>
        <v>46.947245228664023</v>
      </c>
      <c r="V83" s="15">
        <f>IFERROR(VLOOKUP(A78,'Count of Providers as of Jan 18'!A:B,2,FALSE),0)</f>
        <v>8</v>
      </c>
      <c r="W83" s="32">
        <f t="shared" si="7"/>
        <v>3.0878892885221632</v>
      </c>
    </row>
    <row r="84" spans="1:23">
      <c r="A84" s="16" t="s">
        <v>122</v>
      </c>
      <c r="B84" s="17">
        <v>2744</v>
      </c>
      <c r="C84" s="17">
        <v>3202</v>
      </c>
      <c r="D84" s="17">
        <f>VLOOKUP(A84,'[2]2017'!$B:$I,8,FALSE)</f>
        <v>3384</v>
      </c>
      <c r="E84" s="18">
        <f t="shared" si="8"/>
        <v>3110</v>
      </c>
      <c r="F84" s="19">
        <v>59</v>
      </c>
      <c r="G84" s="17">
        <v>64</v>
      </c>
      <c r="H84" s="17">
        <f>VLOOKUP(A84,'[2]2017'!$B:$D,3,FALSE)</f>
        <v>105</v>
      </c>
      <c r="I84" s="20">
        <f t="shared" si="9"/>
        <v>76</v>
      </c>
      <c r="J84" s="21" t="s">
        <v>120</v>
      </c>
      <c r="K84" s="22">
        <v>161253</v>
      </c>
      <c r="L84" s="22">
        <v>166675</v>
      </c>
      <c r="M84" s="22">
        <v>172712</v>
      </c>
      <c r="N84" s="22">
        <f t="shared" si="5"/>
        <v>166880</v>
      </c>
      <c r="O84" s="17">
        <v>137</v>
      </c>
      <c r="P84" s="17">
        <v>89</v>
      </c>
      <c r="Q84" s="17">
        <v>90</v>
      </c>
      <c r="R84" s="20">
        <f t="shared" si="6"/>
        <v>105.33333333333333</v>
      </c>
      <c r="S84" s="23">
        <v>35.341879746394483</v>
      </c>
      <c r="U84" s="33">
        <f>IF(T84="Change",INDEX('FY21 wRVU Changes'!$E:$E,MATCH(Specialty!J84,'FY21 wRVU Changes'!$C:$C,0)),INDEX('Specialty Lookup'!$B:$B,MATCH(Specialty!J84,'Specialty Lookup'!$A:$A,0)))</f>
        <v>104.22491105840498</v>
      </c>
      <c r="V84" s="15">
        <f>IFERROR(VLOOKUP(A79,'Count of Providers as of Jan 18'!A:B,2,FALSE),0)</f>
        <v>6</v>
      </c>
      <c r="W84" s="32">
        <f t="shared" si="7"/>
        <v>-68.883031312010502</v>
      </c>
    </row>
    <row r="85" spans="1:23">
      <c r="A85" s="16" t="s">
        <v>123</v>
      </c>
      <c r="B85" s="17" t="s">
        <v>50</v>
      </c>
      <c r="C85" s="17" t="s">
        <v>50</v>
      </c>
      <c r="D85" s="17">
        <f>VLOOKUP(A85,'[2]2017'!$B:$I,8,FALSE)</f>
        <v>0</v>
      </c>
      <c r="E85" s="18">
        <f t="shared" si="8"/>
        <v>0</v>
      </c>
      <c r="F85" s="19">
        <v>2</v>
      </c>
      <c r="G85" s="17">
        <v>1</v>
      </c>
      <c r="H85" s="17">
        <f>VLOOKUP(A85,'[2]2017'!$B:$D,3,FALSE)</f>
        <v>1</v>
      </c>
      <c r="I85" s="20">
        <f t="shared" si="9"/>
        <v>1.3333333333333333</v>
      </c>
      <c r="J85" s="21" t="s">
        <v>121</v>
      </c>
      <c r="K85" s="22">
        <v>213175</v>
      </c>
      <c r="L85" s="22">
        <v>213881</v>
      </c>
      <c r="M85" s="22">
        <v>208885</v>
      </c>
      <c r="N85" s="22">
        <f t="shared" si="5"/>
        <v>211980.33333333334</v>
      </c>
      <c r="O85" s="17">
        <v>168</v>
      </c>
      <c r="P85" s="17">
        <v>107</v>
      </c>
      <c r="Q85" s="17">
        <v>98</v>
      </c>
      <c r="R85" s="20">
        <f t="shared" si="6"/>
        <v>124.33333333333333</v>
      </c>
      <c r="S85" s="23">
        <v>77.926210495795885</v>
      </c>
      <c r="U85" s="33">
        <f>IF(T85="Change",INDEX('FY21 wRVU Changes'!$E:$E,MATCH(Specialty!J85,'FY21 wRVU Changes'!$C:$C,0)),INDEX('Specialty Lookup'!$B:$B,MATCH(Specialty!J85,'Specialty Lookup'!$A:$A,0)))</f>
        <v>68.820683824910773</v>
      </c>
      <c r="V85" s="15">
        <f>IFERROR(VLOOKUP(A80,'Count of Providers as of Jan 18'!A:B,2,FALSE),0)</f>
        <v>8</v>
      </c>
      <c r="W85" s="32">
        <f t="shared" si="7"/>
        <v>9.1055266708851121</v>
      </c>
    </row>
    <row r="86" spans="1:23">
      <c r="A86" s="16" t="s">
        <v>124</v>
      </c>
      <c r="B86" s="17">
        <v>2530</v>
      </c>
      <c r="C86" s="17" t="s">
        <v>50</v>
      </c>
      <c r="D86" s="17">
        <f>VLOOKUP(A86,'[2]2017'!$B:$I,8,FALSE)</f>
        <v>2853</v>
      </c>
      <c r="E86" s="18">
        <f t="shared" si="8"/>
        <v>2691.5</v>
      </c>
      <c r="F86" s="19">
        <v>16</v>
      </c>
      <c r="G86" s="17">
        <v>6</v>
      </c>
      <c r="H86" s="17">
        <f>VLOOKUP(A86,'[2]2017'!$B:$D,3,FALSE)</f>
        <v>16</v>
      </c>
      <c r="I86" s="20">
        <f t="shared" si="9"/>
        <v>12.666666666666666</v>
      </c>
      <c r="J86" s="21" t="s">
        <v>122</v>
      </c>
      <c r="K86" s="22">
        <v>153063</v>
      </c>
      <c r="L86" s="22">
        <v>154062</v>
      </c>
      <c r="M86" s="22">
        <v>168492</v>
      </c>
      <c r="N86" s="22">
        <f t="shared" si="5"/>
        <v>158539</v>
      </c>
      <c r="O86" s="17">
        <v>444</v>
      </c>
      <c r="P86" s="17">
        <v>429</v>
      </c>
      <c r="Q86" s="17">
        <v>268</v>
      </c>
      <c r="R86" s="20">
        <f t="shared" si="6"/>
        <v>380.33333333333331</v>
      </c>
      <c r="S86" s="23">
        <v>47.951882132515756</v>
      </c>
      <c r="U86" s="33">
        <f>IF(T86="Change",INDEX('FY21 wRVU Changes'!$E:$E,MATCH(Specialty!J86,'FY21 wRVU Changes'!$C:$C,0)),INDEX('Specialty Lookup'!$B:$B,MATCH(Specialty!J86,'Specialty Lookup'!$A:$A,0)))</f>
        <v>81.110286412853654</v>
      </c>
      <c r="V86" s="15">
        <f>IFERROR(VLOOKUP(A81,'Count of Providers as of Jan 18'!A:B,2,FALSE),0)</f>
        <v>17</v>
      </c>
      <c r="W86" s="32">
        <f t="shared" si="7"/>
        <v>-33.158404280337898</v>
      </c>
    </row>
    <row r="87" spans="1:23">
      <c r="A87" s="16" t="s">
        <v>125</v>
      </c>
      <c r="B87" s="17" t="s">
        <v>50</v>
      </c>
      <c r="C87" s="17" t="s">
        <v>50</v>
      </c>
      <c r="D87" s="17">
        <f>VLOOKUP(A87,'[2]2017'!$B:$I,8,FALSE)</f>
        <v>0</v>
      </c>
      <c r="E87" s="18">
        <f t="shared" si="8"/>
        <v>0</v>
      </c>
      <c r="F87" s="19">
        <v>4</v>
      </c>
      <c r="G87" s="17">
        <v>4</v>
      </c>
      <c r="H87" s="17">
        <f>VLOOKUP(A87,'[2]2017'!$B:$D,3,FALSE)</f>
        <v>3</v>
      </c>
      <c r="I87" s="20">
        <f t="shared" si="9"/>
        <v>3.6666666666666665</v>
      </c>
      <c r="J87" s="21" t="s">
        <v>123</v>
      </c>
      <c r="K87" s="22">
        <v>175503</v>
      </c>
      <c r="L87" s="22">
        <v>166293</v>
      </c>
      <c r="M87" s="22">
        <v>185889</v>
      </c>
      <c r="N87" s="22">
        <f t="shared" si="5"/>
        <v>175895</v>
      </c>
      <c r="O87" s="17">
        <v>54</v>
      </c>
      <c r="P87" s="17">
        <v>43</v>
      </c>
      <c r="Q87" s="17">
        <v>34</v>
      </c>
      <c r="R87" s="20">
        <f t="shared" si="6"/>
        <v>43.666666666666664</v>
      </c>
      <c r="S87" s="23">
        <v>54.72942874819551</v>
      </c>
      <c r="U87" s="33">
        <f>IF(T87="Change",INDEX('FY21 wRVU Changes'!$E:$E,MATCH(Specialty!J87,'FY21 wRVU Changes'!$C:$C,0)),INDEX('Specialty Lookup'!$B:$B,MATCH(Specialty!J87,'Specialty Lookup'!$A:$A,0)))</f>
        <v>46.947245228664023</v>
      </c>
      <c r="V87" s="15">
        <f>IFERROR(VLOOKUP(A82,'Count of Providers as of Jan 18'!A:B,2,FALSE),0)</f>
        <v>7</v>
      </c>
      <c r="W87" s="32">
        <f t="shared" si="7"/>
        <v>7.7821835195314861</v>
      </c>
    </row>
    <row r="88" spans="1:23">
      <c r="A88" s="16" t="s">
        <v>126</v>
      </c>
      <c r="B88" s="17">
        <v>10596</v>
      </c>
      <c r="C88" s="17">
        <v>12037</v>
      </c>
      <c r="D88" s="17">
        <f>VLOOKUP(A88,'[2]2017'!$B:$I,8,FALSE)</f>
        <v>12163</v>
      </c>
      <c r="E88" s="18">
        <f t="shared" si="8"/>
        <v>11598.666666666666</v>
      </c>
      <c r="F88" s="19">
        <v>147</v>
      </c>
      <c r="G88" s="17">
        <v>103</v>
      </c>
      <c r="H88" s="17">
        <f>VLOOKUP(A88,'[2]2017'!$B:$D,3,FALSE)</f>
        <v>146</v>
      </c>
      <c r="I88" s="20">
        <f t="shared" si="9"/>
        <v>132</v>
      </c>
      <c r="J88" s="21" t="s">
        <v>124</v>
      </c>
      <c r="K88" s="22">
        <v>180857</v>
      </c>
      <c r="L88" s="22">
        <v>178156</v>
      </c>
      <c r="M88" s="22">
        <v>187367</v>
      </c>
      <c r="N88" s="22">
        <f t="shared" si="5"/>
        <v>182126.66666666666</v>
      </c>
      <c r="O88" s="17">
        <v>242</v>
      </c>
      <c r="P88" s="17">
        <v>113</v>
      </c>
      <c r="Q88" s="17">
        <v>115</v>
      </c>
      <c r="R88" s="20">
        <f t="shared" si="6"/>
        <v>156.66666666666666</v>
      </c>
      <c r="S88" s="23">
        <v>35.341879746394483</v>
      </c>
      <c r="T88" s="63" t="s">
        <v>236</v>
      </c>
      <c r="U88" s="33">
        <f>IF(T88="Change",INDEX('FY21 wRVU Changes'!$E:$E,MATCH(Specialty!J88,'FY21 wRVU Changes'!$C:$C,0)),INDEX('Specialty Lookup'!$B:$B,MATCH(Specialty!J88,'Specialty Lookup'!$A:$A,0)))</f>
        <v>79.879612379935963</v>
      </c>
      <c r="V88" s="15">
        <f>IFERROR(VLOOKUP(A83,'Count of Providers as of Jan 18'!A:B,2,FALSE),0)</f>
        <v>13</v>
      </c>
      <c r="W88" s="32">
        <f t="shared" si="7"/>
        <v>-44.537732633541481</v>
      </c>
    </row>
    <row r="89" spans="1:23">
      <c r="A89" s="16" t="s">
        <v>127</v>
      </c>
      <c r="B89" s="17">
        <v>3685</v>
      </c>
      <c r="C89" s="17">
        <v>3522</v>
      </c>
      <c r="D89" s="17">
        <f>VLOOKUP(A89,'[2]2017'!$B:$I,8,FALSE)</f>
        <v>3867</v>
      </c>
      <c r="E89" s="18">
        <f t="shared" si="8"/>
        <v>3691.3333333333335</v>
      </c>
      <c r="F89" s="19">
        <v>38</v>
      </c>
      <c r="G89" s="17">
        <v>21</v>
      </c>
      <c r="H89" s="17">
        <f>VLOOKUP(A89,'[2]2017'!$B:$D,3,FALSE)</f>
        <v>28</v>
      </c>
      <c r="I89" s="20">
        <f t="shared" si="9"/>
        <v>29</v>
      </c>
      <c r="J89" s="21" t="s">
        <v>125</v>
      </c>
      <c r="K89" s="22">
        <v>163823</v>
      </c>
      <c r="L89" s="22">
        <v>168728</v>
      </c>
      <c r="M89" s="22">
        <v>176188</v>
      </c>
      <c r="N89" s="22">
        <f t="shared" si="5"/>
        <v>169579.66666666666</v>
      </c>
      <c r="O89" s="17">
        <v>194</v>
      </c>
      <c r="P89" s="17">
        <v>149</v>
      </c>
      <c r="Q89" s="17">
        <v>142</v>
      </c>
      <c r="R89" s="20">
        <f t="shared" si="6"/>
        <v>161.66666666666666</v>
      </c>
      <c r="S89" s="23">
        <v>35.341879746394483</v>
      </c>
      <c r="T89" s="63"/>
      <c r="U89" s="33">
        <f>IF(T89="Change",INDEX('FY21 wRVU Changes'!$E:$E,MATCH(Specialty!J89,'FY21 wRVU Changes'!$C:$C,0)),INDEX('Specialty Lookup'!$B:$B,MATCH(Specialty!J89,'Specialty Lookup'!$A:$A,0)))</f>
        <v>46.947245228664023</v>
      </c>
      <c r="V89" s="15">
        <f>IFERROR(VLOOKUP(A84,'Count of Providers as of Jan 18'!A:B,2,FALSE),0)</f>
        <v>14</v>
      </c>
      <c r="W89" s="32">
        <f t="shared" si="7"/>
        <v>-11.605365482269541</v>
      </c>
    </row>
    <row r="90" spans="1:23">
      <c r="A90" s="16" t="s">
        <v>128</v>
      </c>
      <c r="B90" s="17">
        <v>8491</v>
      </c>
      <c r="C90" s="17" t="s">
        <v>50</v>
      </c>
      <c r="D90" s="17">
        <f>VLOOKUP(A90,'[2]2017'!$B:$I,8,FALSE)</f>
        <v>0</v>
      </c>
      <c r="E90" s="18">
        <f t="shared" si="8"/>
        <v>4245.5</v>
      </c>
      <c r="F90" s="19">
        <v>11</v>
      </c>
      <c r="G90" s="17">
        <v>8</v>
      </c>
      <c r="H90" s="17">
        <f>VLOOKUP(A90,'[2]2017'!$B:$D,3,FALSE)</f>
        <v>7</v>
      </c>
      <c r="I90" s="20">
        <f t="shared" si="9"/>
        <v>8.6666666666666661</v>
      </c>
      <c r="J90" s="21" t="s">
        <v>126</v>
      </c>
      <c r="K90" s="22" t="s">
        <v>50</v>
      </c>
      <c r="L90" s="22" t="s">
        <v>50</v>
      </c>
      <c r="M90" s="22">
        <v>0</v>
      </c>
      <c r="N90" s="22">
        <f t="shared" si="5"/>
        <v>0</v>
      </c>
      <c r="O90" s="17">
        <v>3</v>
      </c>
      <c r="P90" s="17">
        <v>2</v>
      </c>
      <c r="Q90" s="17">
        <v>1</v>
      </c>
      <c r="R90" s="20">
        <f t="shared" si="6"/>
        <v>2</v>
      </c>
      <c r="S90" s="23">
        <v>35.341879746394483</v>
      </c>
      <c r="U90" s="33">
        <f>IF(T90="Change",INDEX('FY21 wRVU Changes'!$E:$E,MATCH(Specialty!J90,'FY21 wRVU Changes'!$C:$C,0)),INDEX('Specialty Lookup'!$B:$B,MATCH(Specialty!J90,'Specialty Lookup'!$A:$A,0)))</f>
        <v>29.213066551921976</v>
      </c>
      <c r="V90" s="15">
        <f>IFERROR(VLOOKUP(A85,'Count of Providers as of Jan 18'!A:B,2,FALSE),0)</f>
        <v>0</v>
      </c>
      <c r="W90" s="32">
        <f t="shared" si="7"/>
        <v>6.1288131944725066</v>
      </c>
    </row>
    <row r="91" spans="1:23">
      <c r="A91" s="16" t="s">
        <v>129</v>
      </c>
      <c r="B91" s="17">
        <v>4685</v>
      </c>
      <c r="C91" s="17">
        <v>3988</v>
      </c>
      <c r="D91" s="17">
        <f>VLOOKUP(A91,'[2]2017'!$B:$I,8,FALSE)</f>
        <v>3820</v>
      </c>
      <c r="E91" s="18">
        <f t="shared" si="8"/>
        <v>4164.333333333333</v>
      </c>
      <c r="F91" s="19">
        <v>70</v>
      </c>
      <c r="G91" s="17">
        <v>56</v>
      </c>
      <c r="H91" s="17">
        <f>VLOOKUP(A91,'[2]2017'!$B:$D,3,FALSE)</f>
        <v>65</v>
      </c>
      <c r="I91" s="20">
        <f t="shared" si="9"/>
        <v>63.666666666666664</v>
      </c>
      <c r="J91" s="21" t="s">
        <v>127</v>
      </c>
      <c r="K91" s="22">
        <v>160009</v>
      </c>
      <c r="L91" s="22">
        <v>161704</v>
      </c>
      <c r="M91" s="22">
        <v>162365</v>
      </c>
      <c r="N91" s="22">
        <f t="shared" si="5"/>
        <v>161359.33333333334</v>
      </c>
      <c r="O91" s="17">
        <v>112</v>
      </c>
      <c r="P91" s="17">
        <v>74</v>
      </c>
      <c r="Q91" s="17">
        <v>62</v>
      </c>
      <c r="R91" s="20">
        <f t="shared" si="6"/>
        <v>82.666666666666671</v>
      </c>
      <c r="S91" s="23">
        <v>21.713552218922594</v>
      </c>
      <c r="T91" s="63"/>
      <c r="U91" s="33">
        <f>IF(T91="Change",INDEX('FY21 wRVU Changes'!$E:$E,MATCH(Specialty!J91,'FY21 wRVU Changes'!$C:$C,0)),INDEX('Specialty Lookup'!$B:$B,MATCH(Specialty!J91,'Specialty Lookup'!$A:$A,0)))</f>
        <v>70.039845819144915</v>
      </c>
      <c r="V91" s="15">
        <f>IFERROR(VLOOKUP(A86,'Count of Providers as of Jan 18'!A:B,2,FALSE),0)</f>
        <v>4</v>
      </c>
      <c r="W91" s="32">
        <f t="shared" si="7"/>
        <v>-48.326293600222321</v>
      </c>
    </row>
    <row r="92" spans="1:23">
      <c r="A92" s="16" t="s">
        <v>130</v>
      </c>
      <c r="B92" s="17">
        <v>6869</v>
      </c>
      <c r="C92" s="17">
        <v>6969</v>
      </c>
      <c r="D92" s="17">
        <f>VLOOKUP(A92,'[2]2017'!$B:$I,8,FALSE)</f>
        <v>8257</v>
      </c>
      <c r="E92" s="18">
        <f t="shared" si="8"/>
        <v>7365</v>
      </c>
      <c r="F92" s="19">
        <v>19</v>
      </c>
      <c r="G92" s="17">
        <v>21</v>
      </c>
      <c r="H92" s="17">
        <f>VLOOKUP(A92,'[2]2017'!$B:$D,3,FALSE)</f>
        <v>19</v>
      </c>
      <c r="I92" s="20">
        <f t="shared" si="9"/>
        <v>19.666666666666668</v>
      </c>
      <c r="J92" s="21" t="s">
        <v>244</v>
      </c>
      <c r="K92" s="22">
        <v>152975</v>
      </c>
      <c r="L92" s="22">
        <v>164785</v>
      </c>
      <c r="M92" s="22">
        <v>198511</v>
      </c>
      <c r="N92" s="22">
        <f t="shared" si="5"/>
        <v>172090.33333333334</v>
      </c>
      <c r="O92" s="17">
        <v>10</v>
      </c>
      <c r="P92" s="17">
        <v>15</v>
      </c>
      <c r="Q92" s="17">
        <v>14</v>
      </c>
      <c r="R92" s="20">
        <f t="shared" si="6"/>
        <v>13</v>
      </c>
      <c r="S92" s="23">
        <v>53.432077044170754</v>
      </c>
      <c r="T92" s="63" t="s">
        <v>236</v>
      </c>
      <c r="U92" s="33">
        <f>IF(T92="Change",INDEX('FY21 wRVU Changes'!$E:$E,MATCH(Specialty!J92,'FY21 wRVU Changes'!$C:$C,0)),INDEX('Specialty Lookup'!$B:$B,MATCH(Specialty!J92,'Specialty Lookup'!$A:$A,0)))</f>
        <v>126.47761629240001</v>
      </c>
      <c r="V92" s="15">
        <f>IFERROR(VLOOKUP(A87,'Count of Providers as of Jan 18'!A:B,2,FALSE),0)</f>
        <v>0</v>
      </c>
      <c r="W92" s="32">
        <f t="shared" si="7"/>
        <v>-73.045539248229261</v>
      </c>
    </row>
    <row r="93" spans="1:23">
      <c r="A93" s="16" t="s">
        <v>131</v>
      </c>
      <c r="B93" s="17">
        <v>7293</v>
      </c>
      <c r="C93" s="17">
        <v>8046</v>
      </c>
      <c r="D93" s="17">
        <f>VLOOKUP(A93,'[2]2017'!$B:$I,8,FALSE)</f>
        <v>6934</v>
      </c>
      <c r="E93" s="18">
        <f t="shared" si="8"/>
        <v>7424.333333333333</v>
      </c>
      <c r="F93" s="19">
        <v>71</v>
      </c>
      <c r="G93" s="17">
        <v>38</v>
      </c>
      <c r="H93" s="17">
        <f>VLOOKUP(A93,'[2]2017'!$B:$D,3,FALSE)</f>
        <v>43</v>
      </c>
      <c r="I93" s="20">
        <f t="shared" si="9"/>
        <v>50.666666666666664</v>
      </c>
      <c r="J93" s="21" t="s">
        <v>129</v>
      </c>
      <c r="K93" s="22">
        <v>239101</v>
      </c>
      <c r="L93" s="22">
        <v>250525</v>
      </c>
      <c r="M93" s="22">
        <v>252711</v>
      </c>
      <c r="N93" s="22">
        <f t="shared" si="5"/>
        <v>247445.66666666666</v>
      </c>
      <c r="O93" s="17">
        <v>362</v>
      </c>
      <c r="P93" s="17">
        <v>262</v>
      </c>
      <c r="Q93" s="17">
        <v>250</v>
      </c>
      <c r="R93" s="20">
        <f t="shared" si="6"/>
        <v>291.33333333333331</v>
      </c>
      <c r="S93" s="23">
        <v>59.121499622468079</v>
      </c>
      <c r="T93" s="63"/>
      <c r="U93" s="33">
        <f>IF(T93="Change",INDEX('FY21 wRVU Changes'!$E:$E,MATCH(Specialty!J93,'FY21 wRVU Changes'!$C:$C,0)),INDEX('Specialty Lookup'!$B:$B,MATCH(Specialty!J93,'Specialty Lookup'!$A:$A,0)))</f>
        <v>72.801278012780131</v>
      </c>
      <c r="V93" s="15">
        <f>IFERROR(VLOOKUP(A88,'Count of Providers as of Jan 18'!A:B,2,FALSE),0)</f>
        <v>12</v>
      </c>
      <c r="W93" s="32">
        <f t="shared" si="7"/>
        <v>-13.679778390312052</v>
      </c>
    </row>
    <row r="94" spans="1:23">
      <c r="A94" s="16" t="s">
        <v>132</v>
      </c>
      <c r="B94" s="17">
        <v>8559</v>
      </c>
      <c r="C94" s="17">
        <v>6975</v>
      </c>
      <c r="D94" s="17">
        <f>VLOOKUP(A94,'[2]2017'!$B:$I,8,FALSE)</f>
        <v>7599</v>
      </c>
      <c r="E94" s="18">
        <f t="shared" si="8"/>
        <v>7711</v>
      </c>
      <c r="F94" s="19">
        <v>29</v>
      </c>
      <c r="G94" s="17">
        <v>21</v>
      </c>
      <c r="H94" s="17">
        <f>VLOOKUP(A94,'[2]2017'!$B:$D,3,FALSE)</f>
        <v>37</v>
      </c>
      <c r="I94" s="20">
        <f t="shared" si="9"/>
        <v>29</v>
      </c>
      <c r="J94" s="21" t="s">
        <v>130</v>
      </c>
      <c r="K94" s="22">
        <v>184127</v>
      </c>
      <c r="L94" s="22">
        <v>186889</v>
      </c>
      <c r="M94" s="22">
        <v>187550</v>
      </c>
      <c r="N94" s="22">
        <f t="shared" si="5"/>
        <v>186188.66666666666</v>
      </c>
      <c r="O94" s="17">
        <v>89</v>
      </c>
      <c r="P94" s="17">
        <v>55</v>
      </c>
      <c r="Q94" s="17">
        <v>57</v>
      </c>
      <c r="R94" s="20">
        <f t="shared" si="6"/>
        <v>67</v>
      </c>
      <c r="S94" s="23">
        <v>52.981301939058177</v>
      </c>
      <c r="U94" s="33">
        <f>IF(T94="Change",INDEX('FY21 wRVU Changes'!$E:$E,MATCH(Specialty!J94,'FY21 wRVU Changes'!$C:$C,0)),INDEX('Specialty Lookup'!$B:$B,MATCH(Specialty!J94,'Specialty Lookup'!$A:$A,0)))</f>
        <v>51.439664714292299</v>
      </c>
      <c r="V94" s="15">
        <f>IFERROR(VLOOKUP(A89,'Count of Providers as of Jan 18'!A:B,2,FALSE),0)</f>
        <v>0</v>
      </c>
      <c r="W94" s="32">
        <f t="shared" si="7"/>
        <v>1.5416372247658785</v>
      </c>
    </row>
    <row r="95" spans="1:23">
      <c r="A95" s="16" t="s">
        <v>133</v>
      </c>
      <c r="B95" s="17">
        <v>6608</v>
      </c>
      <c r="C95" s="17" t="s">
        <v>50</v>
      </c>
      <c r="D95" s="17">
        <f>VLOOKUP(A95,'[2]2017'!$B:$I,8,FALSE)</f>
        <v>0</v>
      </c>
      <c r="E95" s="18">
        <f t="shared" si="8"/>
        <v>3304</v>
      </c>
      <c r="F95" s="19">
        <v>10</v>
      </c>
      <c r="G95" s="17">
        <v>8</v>
      </c>
      <c r="H95" s="17">
        <f>VLOOKUP(A95,'[2]2017'!$B:$D,3,FALSE)</f>
        <v>6</v>
      </c>
      <c r="I95" s="20">
        <f t="shared" si="9"/>
        <v>8</v>
      </c>
      <c r="J95" s="21" t="s">
        <v>131</v>
      </c>
      <c r="K95" s="22">
        <v>530093</v>
      </c>
      <c r="L95" s="22">
        <v>546270</v>
      </c>
      <c r="M95" s="22">
        <v>829850</v>
      </c>
      <c r="N95" s="22">
        <f t="shared" si="5"/>
        <v>635404.33333333337</v>
      </c>
      <c r="O95" s="17">
        <v>21</v>
      </c>
      <c r="P95" s="17">
        <v>14</v>
      </c>
      <c r="Q95" s="17">
        <v>11</v>
      </c>
      <c r="R95" s="20">
        <f t="shared" si="6"/>
        <v>15.333333333333334</v>
      </c>
      <c r="S95" s="23">
        <v>40.3150872079785</v>
      </c>
      <c r="U95" s="33">
        <f>IF(T95="Change",INDEX('FY21 wRVU Changes'!$E:$E,MATCH(Specialty!J95,'FY21 wRVU Changes'!$C:$C,0)),INDEX('Specialty Lookup'!$B:$B,MATCH(Specialty!J95,'Specialty Lookup'!$A:$A,0)))</f>
        <v>83.592336316762328</v>
      </c>
      <c r="V95" s="15">
        <f>IFERROR(VLOOKUP(A90,'Count of Providers as of Jan 18'!A:B,2,FALSE),0)</f>
        <v>0</v>
      </c>
      <c r="W95" s="32">
        <f t="shared" si="7"/>
        <v>-43.277249108783828</v>
      </c>
    </row>
    <row r="96" spans="1:23">
      <c r="A96" s="16" t="s">
        <v>134</v>
      </c>
      <c r="B96" s="17">
        <v>4152</v>
      </c>
      <c r="C96" s="17">
        <v>4501</v>
      </c>
      <c r="D96" s="17">
        <f>VLOOKUP(A96,'[2]2017'!$B:$I,8,FALSE)</f>
        <v>4170</v>
      </c>
      <c r="E96" s="18">
        <f t="shared" si="8"/>
        <v>4274.333333333333</v>
      </c>
      <c r="F96" s="19">
        <v>53</v>
      </c>
      <c r="G96" s="17">
        <v>25</v>
      </c>
      <c r="H96" s="17">
        <f>VLOOKUP(A96,'[2]2017'!$B:$D,3,FALSE)</f>
        <v>43</v>
      </c>
      <c r="I96" s="20">
        <f t="shared" si="9"/>
        <v>40.333333333333336</v>
      </c>
      <c r="J96" s="21" t="s">
        <v>132</v>
      </c>
      <c r="K96" s="22">
        <v>199306</v>
      </c>
      <c r="L96" s="22">
        <v>186613</v>
      </c>
      <c r="M96" s="22">
        <v>209590</v>
      </c>
      <c r="N96" s="22">
        <f t="shared" si="5"/>
        <v>198503</v>
      </c>
      <c r="O96" s="17">
        <v>145</v>
      </c>
      <c r="P96" s="17">
        <v>119</v>
      </c>
      <c r="Q96" s="17">
        <v>118</v>
      </c>
      <c r="R96" s="20">
        <f t="shared" si="6"/>
        <v>127.33333333333333</v>
      </c>
      <c r="S96" s="23">
        <v>66.285514060945829</v>
      </c>
      <c r="U96" s="33">
        <f>IF(T96="Change",INDEX('FY21 wRVU Changes'!$E:$E,MATCH(Specialty!J96,'FY21 wRVU Changes'!$C:$C,0)),INDEX('Specialty Lookup'!$B:$B,MATCH(Specialty!J96,'Specialty Lookup'!$A:$A,0)))</f>
        <v>65.676715493940179</v>
      </c>
      <c r="V96" s="15">
        <f>IFERROR(VLOOKUP(A91,'Count of Providers as of Jan 18'!A:B,2,FALSE),0)</f>
        <v>7</v>
      </c>
      <c r="W96" s="32">
        <f t="shared" si="7"/>
        <v>0.60879856700564972</v>
      </c>
    </row>
    <row r="97" spans="1:23">
      <c r="A97" s="16" t="s">
        <v>135</v>
      </c>
      <c r="B97" s="17">
        <v>7258</v>
      </c>
      <c r="C97" s="17">
        <v>4893</v>
      </c>
      <c r="D97" s="17">
        <f>VLOOKUP(A97,'[2]2017'!$B:$I,8,FALSE)</f>
        <v>6244</v>
      </c>
      <c r="E97" s="18">
        <f t="shared" si="8"/>
        <v>6131.666666666667</v>
      </c>
      <c r="F97" s="19">
        <v>24</v>
      </c>
      <c r="G97" s="17">
        <v>23</v>
      </c>
      <c r="H97" s="17">
        <f>VLOOKUP(A97,'[2]2017'!$B:$D,3,FALSE)</f>
        <v>28</v>
      </c>
      <c r="I97" s="20">
        <f t="shared" si="9"/>
        <v>25</v>
      </c>
      <c r="J97" s="21" t="s">
        <v>245</v>
      </c>
      <c r="K97" s="22">
        <v>288548</v>
      </c>
      <c r="L97" s="22">
        <v>254236</v>
      </c>
      <c r="M97" s="22">
        <v>311418</v>
      </c>
      <c r="N97" s="22">
        <f t="shared" si="5"/>
        <v>284734</v>
      </c>
      <c r="O97" s="17">
        <v>33</v>
      </c>
      <c r="P97" s="17">
        <v>32</v>
      </c>
      <c r="Q97" s="17">
        <v>21</v>
      </c>
      <c r="R97" s="20">
        <f t="shared" si="6"/>
        <v>28.666666666666668</v>
      </c>
      <c r="S97" s="23">
        <v>53.769514527734771</v>
      </c>
      <c r="U97" s="33">
        <f>IF(T97="Change",INDEX('FY21 wRVU Changes'!$E:$E,MATCH(Specialty!J97,'FY21 wRVU Changes'!$C:$C,0)),INDEX('Specialty Lookup'!$B:$B,MATCH(Specialty!J97,'Specialty Lookup'!$A:$A,0)))</f>
        <v>66.634141776341707</v>
      </c>
      <c r="V97" s="15">
        <f>IFERROR(VLOOKUP(A92,'Count of Providers as of Jan 18'!A:B,2,FALSE),0)</f>
        <v>2</v>
      </c>
      <c r="W97" s="32">
        <f t="shared" si="7"/>
        <v>-12.864627248606936</v>
      </c>
    </row>
    <row r="98" spans="1:23">
      <c r="A98" s="16" t="s">
        <v>136</v>
      </c>
      <c r="B98" s="17">
        <v>3228</v>
      </c>
      <c r="C98" s="17" t="s">
        <v>50</v>
      </c>
      <c r="D98" s="17">
        <f>VLOOKUP(A98,'[2]2017'!$B:$I,8,FALSE)</f>
        <v>3611</v>
      </c>
      <c r="E98" s="18">
        <f t="shared" si="8"/>
        <v>3419.5</v>
      </c>
      <c r="F98" s="19">
        <v>10</v>
      </c>
      <c r="G98" s="17">
        <v>4</v>
      </c>
      <c r="H98" s="17">
        <f>VLOOKUP(A98,'[2]2017'!$B:$D,3,FALSE)</f>
        <v>11</v>
      </c>
      <c r="I98" s="20">
        <f t="shared" si="9"/>
        <v>8.3333333333333339</v>
      </c>
      <c r="J98" s="21" t="s">
        <v>134</v>
      </c>
      <c r="K98" s="22">
        <v>484301</v>
      </c>
      <c r="L98" s="22">
        <v>530499</v>
      </c>
      <c r="M98" s="22">
        <v>469614</v>
      </c>
      <c r="N98" s="22">
        <f t="shared" si="5"/>
        <v>494804.66666666669</v>
      </c>
      <c r="O98" s="17">
        <v>101</v>
      </c>
      <c r="P98" s="17">
        <v>49</v>
      </c>
      <c r="Q98" s="17">
        <v>48</v>
      </c>
      <c r="R98" s="20">
        <f t="shared" si="6"/>
        <v>66</v>
      </c>
      <c r="S98" s="23">
        <v>45.906516696573156</v>
      </c>
      <c r="U98" s="33">
        <f>IF(T98="Change",INDEX('FY21 wRVU Changes'!$E:$E,MATCH(Specialty!J98,'FY21 wRVU Changes'!$C:$C,0)),INDEX('Specialty Lookup'!$B:$B,MATCH(Specialty!J98,'Specialty Lookup'!$A:$A,0)))</f>
        <v>65.19260761072988</v>
      </c>
      <c r="V98" s="15">
        <f>IFERROR(VLOOKUP(A93,'Count of Providers as of Jan 18'!A:B,2,FALSE),0)</f>
        <v>4</v>
      </c>
      <c r="W98" s="32">
        <f t="shared" si="7"/>
        <v>-19.286090914156723</v>
      </c>
    </row>
    <row r="99" spans="1:23">
      <c r="A99" s="16" t="s">
        <v>137</v>
      </c>
      <c r="B99" s="17">
        <v>7821</v>
      </c>
      <c r="C99" s="17">
        <v>8293</v>
      </c>
      <c r="D99" s="17">
        <f>VLOOKUP(A99,'[2]2017'!$B:$I,8,FALSE)</f>
        <v>7616</v>
      </c>
      <c r="E99" s="18">
        <f t="shared" si="8"/>
        <v>7910</v>
      </c>
      <c r="F99" s="19">
        <v>48</v>
      </c>
      <c r="G99" s="17">
        <v>43</v>
      </c>
      <c r="H99" s="17">
        <f>VLOOKUP(A99,'[2]2017'!$B:$D,3,FALSE)</f>
        <v>45</v>
      </c>
      <c r="I99" s="20">
        <f t="shared" si="9"/>
        <v>45.333333333333336</v>
      </c>
      <c r="J99" s="21" t="s">
        <v>135</v>
      </c>
      <c r="K99" s="22">
        <v>406387</v>
      </c>
      <c r="L99" s="22">
        <v>397791</v>
      </c>
      <c r="M99" s="22">
        <v>380919</v>
      </c>
      <c r="N99" s="22">
        <f t="shared" si="5"/>
        <v>395032.33333333331</v>
      </c>
      <c r="O99" s="17">
        <v>55</v>
      </c>
      <c r="P99" s="17">
        <v>35</v>
      </c>
      <c r="Q99" s="17">
        <v>42</v>
      </c>
      <c r="R99" s="20">
        <f t="shared" si="6"/>
        <v>44</v>
      </c>
      <c r="S99" s="23">
        <v>46.869554616384917</v>
      </c>
      <c r="U99" s="33">
        <f>IF(T99="Change",INDEX('FY21 wRVU Changes'!$E:$E,MATCH(Specialty!J99,'FY21 wRVU Changes'!$C:$C,0)),INDEX('Specialty Lookup'!$B:$B,MATCH(Specialty!J99,'Specialty Lookup'!$A:$A,0)))</f>
        <v>81.71811432058584</v>
      </c>
      <c r="V99" s="15">
        <f>IFERROR(VLOOKUP(A94,'Count of Providers as of Jan 18'!A:B,2,FALSE),0)</f>
        <v>6</v>
      </c>
      <c r="W99" s="32">
        <f t="shared" si="7"/>
        <v>-34.848559704200923</v>
      </c>
    </row>
    <row r="100" spans="1:23">
      <c r="A100" s="16" t="s">
        <v>138</v>
      </c>
      <c r="B100" s="17" t="s">
        <v>50</v>
      </c>
      <c r="C100" s="17" t="s">
        <v>50</v>
      </c>
      <c r="D100" s="17">
        <f>VLOOKUP(A100,'[2]2017'!$B:$I,8,FALSE)</f>
        <v>0</v>
      </c>
      <c r="E100" s="18">
        <f t="shared" si="8"/>
        <v>0</v>
      </c>
      <c r="F100" s="19">
        <v>2</v>
      </c>
      <c r="G100" s="17">
        <v>21</v>
      </c>
      <c r="H100" s="17">
        <f>VLOOKUP(A100,'[2]2017'!$B:$D,3,FALSE)</f>
        <v>7</v>
      </c>
      <c r="I100" s="20">
        <f t="shared" si="9"/>
        <v>10</v>
      </c>
      <c r="J100" s="21" t="s">
        <v>136</v>
      </c>
      <c r="K100" s="22">
        <v>360701</v>
      </c>
      <c r="L100" s="22">
        <v>381207</v>
      </c>
      <c r="M100" s="22">
        <v>0</v>
      </c>
      <c r="N100" s="22">
        <f t="shared" si="5"/>
        <v>247302.66666666666</v>
      </c>
      <c r="O100" s="17">
        <v>13</v>
      </c>
      <c r="P100" s="17">
        <v>12</v>
      </c>
      <c r="Q100" s="17">
        <v>7</v>
      </c>
      <c r="R100" s="20">
        <f t="shared" si="6"/>
        <v>10.666666666666666</v>
      </c>
      <c r="S100" s="23">
        <v>74.243804195804202</v>
      </c>
      <c r="T100" s="63" t="s">
        <v>236</v>
      </c>
      <c r="U100" s="33">
        <f>IF(T100="Change",INDEX('FY21 wRVU Changes'!$E:$E,MATCH(Specialty!J100,'FY21 wRVU Changes'!$C:$C,0)),INDEX('Specialty Lookup'!$B:$B,MATCH(Specialty!J100,'Specialty Lookup'!$A:$A,0)))</f>
        <v>68.799420462875702</v>
      </c>
      <c r="V100" s="15">
        <f>IFERROR(VLOOKUP(A95,'Count of Providers as of Jan 18'!A:B,2,FALSE),0)</f>
        <v>0</v>
      </c>
      <c r="W100" s="32">
        <f t="shared" si="7"/>
        <v>5.4443837329285003</v>
      </c>
    </row>
    <row r="101" spans="1:23">
      <c r="A101" s="16" t="s">
        <v>139</v>
      </c>
      <c r="B101" s="17">
        <v>8385</v>
      </c>
      <c r="C101" s="17">
        <v>9117</v>
      </c>
      <c r="D101" s="17">
        <f>VLOOKUP(A101,'[2]2017'!$B:$I,8,FALSE)</f>
        <v>6965</v>
      </c>
      <c r="E101" s="18">
        <f t="shared" si="8"/>
        <v>8155.666666666667</v>
      </c>
      <c r="F101" s="19">
        <v>13</v>
      </c>
      <c r="G101" s="17">
        <v>10</v>
      </c>
      <c r="H101" s="17">
        <f>VLOOKUP(A101,'[2]2017'!$B:$D,3,FALSE)</f>
        <v>11</v>
      </c>
      <c r="I101" s="20">
        <f t="shared" si="9"/>
        <v>11.333333333333334</v>
      </c>
      <c r="J101" s="21" t="s">
        <v>137</v>
      </c>
      <c r="K101" s="22">
        <v>185734</v>
      </c>
      <c r="L101" s="22">
        <v>189586</v>
      </c>
      <c r="M101" s="22">
        <v>183250</v>
      </c>
      <c r="N101" s="22">
        <f t="shared" si="5"/>
        <v>186190</v>
      </c>
      <c r="O101" s="17">
        <v>121</v>
      </c>
      <c r="P101" s="17">
        <v>72</v>
      </c>
      <c r="Q101" s="17">
        <v>83</v>
      </c>
      <c r="R101" s="20">
        <f t="shared" si="6"/>
        <v>92</v>
      </c>
      <c r="S101" s="23">
        <v>35.341879746394483</v>
      </c>
      <c r="T101" s="63"/>
      <c r="U101" s="33">
        <f>IF(T101="Change",INDEX('FY21 wRVU Changes'!$E:$E,MATCH(Specialty!J101,'FY21 wRVU Changes'!$C:$C,0)),INDEX('Specialty Lookup'!$B:$B,MATCH(Specialty!J101,'Specialty Lookup'!$A:$A,0)))</f>
        <v>92.803533141736239</v>
      </c>
      <c r="V101" s="15">
        <f>IFERROR(VLOOKUP(A96,'Count of Providers as of Jan 18'!A:B,2,FALSE),0)</f>
        <v>10</v>
      </c>
      <c r="W101" s="32">
        <f t="shared" si="7"/>
        <v>-57.461653395341756</v>
      </c>
    </row>
    <row r="102" spans="1:23">
      <c r="A102" s="16" t="s">
        <v>140</v>
      </c>
      <c r="B102" s="17">
        <v>5487</v>
      </c>
      <c r="C102" s="17">
        <v>5268</v>
      </c>
      <c r="D102" s="17">
        <f>VLOOKUP(A102,'[2]2017'!$B:$I,8,FALSE)</f>
        <v>5547</v>
      </c>
      <c r="E102" s="18">
        <f t="shared" si="8"/>
        <v>5434</v>
      </c>
      <c r="F102" s="19">
        <v>86</v>
      </c>
      <c r="G102" s="17">
        <v>96</v>
      </c>
      <c r="H102" s="17">
        <f>VLOOKUP(A102,'[2]2017'!$B:$D,3,FALSE)</f>
        <v>73</v>
      </c>
      <c r="I102" s="20">
        <f t="shared" si="9"/>
        <v>85</v>
      </c>
      <c r="J102" s="21" t="s">
        <v>138</v>
      </c>
      <c r="K102" s="22">
        <v>381459</v>
      </c>
      <c r="L102" s="22">
        <v>445600</v>
      </c>
      <c r="M102" s="22">
        <v>425150</v>
      </c>
      <c r="N102" s="22">
        <f t="shared" si="5"/>
        <v>417403</v>
      </c>
      <c r="O102" s="17">
        <v>57</v>
      </c>
      <c r="P102" s="17">
        <v>33</v>
      </c>
      <c r="Q102" s="17">
        <v>33</v>
      </c>
      <c r="R102" s="20">
        <f t="shared" si="6"/>
        <v>41</v>
      </c>
      <c r="S102" s="23">
        <v>69.618563802307563</v>
      </c>
      <c r="U102" s="33">
        <f>IF(T102="Change",INDEX('FY21 wRVU Changes'!$E:$E,MATCH(Specialty!J102,'FY21 wRVU Changes'!$C:$C,0)),INDEX('Specialty Lookup'!$B:$B,MATCH(Specialty!J102,'Specialty Lookup'!$A:$A,0)))</f>
        <v>60.904965296316071</v>
      </c>
      <c r="V102" s="15">
        <f>IFERROR(VLOOKUP(A97,'Count of Providers as of Jan 18'!A:B,2,FALSE),0)</f>
        <v>2</v>
      </c>
      <c r="W102" s="32">
        <f t="shared" si="7"/>
        <v>8.7135985059914915</v>
      </c>
    </row>
    <row r="103" spans="1:23">
      <c r="A103" s="16" t="s">
        <v>141</v>
      </c>
      <c r="B103" s="17">
        <v>7235</v>
      </c>
      <c r="C103" s="17" t="s">
        <v>50</v>
      </c>
      <c r="D103" s="17">
        <f>VLOOKUP(A103,'[2]2017'!$B:$I,8,FALSE)</f>
        <v>5365</v>
      </c>
      <c r="E103" s="18">
        <f t="shared" si="8"/>
        <v>6300</v>
      </c>
      <c r="F103" s="19">
        <v>16</v>
      </c>
      <c r="G103" s="17">
        <v>8</v>
      </c>
      <c r="H103" s="17">
        <f>VLOOKUP(A103,'[2]2017'!$B:$D,3,FALSE)</f>
        <v>10</v>
      </c>
      <c r="I103" s="20">
        <f t="shared" si="9"/>
        <v>11.333333333333334</v>
      </c>
      <c r="J103" s="21" t="s">
        <v>139</v>
      </c>
      <c r="K103" s="22">
        <v>173298</v>
      </c>
      <c r="L103" s="22">
        <v>165856</v>
      </c>
      <c r="M103" s="22">
        <v>175000</v>
      </c>
      <c r="N103" s="22">
        <f t="shared" si="5"/>
        <v>171384.66666666666</v>
      </c>
      <c r="O103" s="17">
        <v>33</v>
      </c>
      <c r="P103" s="17">
        <v>15</v>
      </c>
      <c r="Q103" s="17">
        <v>25</v>
      </c>
      <c r="R103" s="20">
        <f t="shared" si="6"/>
        <v>24.333333333333332</v>
      </c>
      <c r="S103" s="23">
        <v>47.312066203950884</v>
      </c>
      <c r="T103" s="63" t="s">
        <v>236</v>
      </c>
      <c r="U103" s="33">
        <f>IF(T103="Change",INDEX('FY21 wRVU Changes'!$E:$E,MATCH(Specialty!J103,'FY21 wRVU Changes'!$C:$C,0)),INDEX('Specialty Lookup'!$B:$B,MATCH(Specialty!J103,'Specialty Lookup'!$A:$A,0)))</f>
        <v>71.372538878609234</v>
      </c>
      <c r="V103" s="15">
        <f>IFERROR(VLOOKUP(A98,'Count of Providers as of Jan 18'!A:B,2,FALSE),0)</f>
        <v>1</v>
      </c>
      <c r="W103" s="32">
        <f t="shared" si="7"/>
        <v>-24.060472674658349</v>
      </c>
    </row>
    <row r="104" spans="1:23">
      <c r="A104" s="16" t="s">
        <v>142</v>
      </c>
      <c r="B104" s="17">
        <v>2421</v>
      </c>
      <c r="C104" s="17">
        <v>3182</v>
      </c>
      <c r="D104" s="17">
        <f>VLOOKUP(A104,'[2]2017'!$B:$I,8,FALSE)</f>
        <v>2840</v>
      </c>
      <c r="E104" s="18">
        <f t="shared" si="8"/>
        <v>2814.3333333333335</v>
      </c>
      <c r="F104" s="19">
        <v>36</v>
      </c>
      <c r="G104" s="17">
        <v>26</v>
      </c>
      <c r="H104" s="17">
        <f>VLOOKUP(A104,'[2]2017'!$B:$D,3,FALSE)</f>
        <v>33</v>
      </c>
      <c r="I104" s="20">
        <f t="shared" si="9"/>
        <v>31.666666666666668</v>
      </c>
      <c r="J104" s="21" t="s">
        <v>140</v>
      </c>
      <c r="K104" s="22">
        <v>497500</v>
      </c>
      <c r="L104" s="22">
        <v>500362</v>
      </c>
      <c r="M104" s="22">
        <v>539754</v>
      </c>
      <c r="N104" s="22">
        <f t="shared" si="5"/>
        <v>512538.66666666669</v>
      </c>
      <c r="O104" s="17">
        <v>96</v>
      </c>
      <c r="P104" s="17">
        <v>63</v>
      </c>
      <c r="Q104" s="17">
        <v>66</v>
      </c>
      <c r="R104" s="20">
        <f t="shared" si="6"/>
        <v>75</v>
      </c>
      <c r="S104" s="23">
        <v>43.063624869849768</v>
      </c>
      <c r="T104" s="63"/>
      <c r="U104" s="33">
        <f>IF(T104="Change",INDEX('FY21 wRVU Changes'!$E:$E,MATCH(Specialty!J104,'FY21 wRVU Changes'!$C:$C,0)),INDEX('Specialty Lookup'!$B:$B,MATCH(Specialty!J104,'Specialty Lookup'!$A:$A,0)))</f>
        <v>45.677541186429643</v>
      </c>
      <c r="V104" s="15">
        <f>IFERROR(VLOOKUP(A99,'Count of Providers as of Jan 18'!A:B,2,FALSE),0)</f>
        <v>4</v>
      </c>
      <c r="W104" s="32">
        <f t="shared" si="7"/>
        <v>-2.6139163165798749</v>
      </c>
    </row>
    <row r="105" spans="1:23">
      <c r="A105" s="16" t="s">
        <v>143</v>
      </c>
      <c r="B105" s="17">
        <v>2735</v>
      </c>
      <c r="C105" s="17">
        <v>3163</v>
      </c>
      <c r="D105" s="17">
        <f>VLOOKUP(A105,'[2]2017'!$B:$I,8,FALSE)</f>
        <v>3598</v>
      </c>
      <c r="E105" s="18">
        <f t="shared" si="8"/>
        <v>3165.3333333333335</v>
      </c>
      <c r="F105" s="19">
        <v>133</v>
      </c>
      <c r="G105" s="17">
        <v>112</v>
      </c>
      <c r="H105" s="17">
        <f>VLOOKUP(A105,'[2]2017'!$B:$D,3,FALSE)</f>
        <v>141</v>
      </c>
      <c r="I105" s="20">
        <f t="shared" si="9"/>
        <v>128.66666666666666</v>
      </c>
      <c r="J105" s="21" t="s">
        <v>246</v>
      </c>
      <c r="K105" s="22">
        <v>166244</v>
      </c>
      <c r="L105" s="22">
        <v>171942</v>
      </c>
      <c r="M105" s="22">
        <v>0</v>
      </c>
      <c r="N105" s="22">
        <f t="shared" si="5"/>
        <v>112728.66666666667</v>
      </c>
      <c r="O105" s="17">
        <v>24</v>
      </c>
      <c r="P105" s="17">
        <v>33</v>
      </c>
      <c r="Q105" s="17">
        <v>9</v>
      </c>
      <c r="R105" s="20">
        <f t="shared" si="6"/>
        <v>22</v>
      </c>
      <c r="S105" s="23">
        <v>41.442972636815924</v>
      </c>
      <c r="U105" s="33">
        <f>IF(T105="Change",INDEX('FY21 wRVU Changes'!$E:$E,MATCH(Specialty!J105,'FY21 wRVU Changes'!$C:$C,0)),INDEX('Specialty Lookup'!$B:$B,MATCH(Specialty!J105,'Specialty Lookup'!$A:$A,0)))</f>
        <v>63.463013698630142</v>
      </c>
      <c r="V105" s="15">
        <f>IFERROR(VLOOKUP(A100,'Count of Providers as of Jan 18'!A:B,2,FALSE),0)</f>
        <v>0</v>
      </c>
      <c r="W105" s="32">
        <f t="shared" si="7"/>
        <v>-22.020041061814219</v>
      </c>
    </row>
    <row r="106" spans="1:23">
      <c r="A106" s="16" t="str">
        <f>J111</f>
        <v>Pulmonary Medicine: General and Critical Care</v>
      </c>
      <c r="F106" s="19"/>
      <c r="I106" s="20"/>
      <c r="J106" s="21" t="s">
        <v>142</v>
      </c>
      <c r="K106" s="22">
        <v>507000</v>
      </c>
      <c r="L106" s="22">
        <v>389332</v>
      </c>
      <c r="M106" s="22">
        <v>442987</v>
      </c>
      <c r="N106" s="22">
        <f t="shared" si="5"/>
        <v>446439.66666666669</v>
      </c>
      <c r="O106" s="17">
        <v>31</v>
      </c>
      <c r="P106" s="17">
        <v>15</v>
      </c>
      <c r="Q106" s="17">
        <v>19</v>
      </c>
      <c r="R106" s="20">
        <f t="shared" si="6"/>
        <v>21.666666666666668</v>
      </c>
      <c r="S106" s="23">
        <v>0</v>
      </c>
      <c r="U106" s="33">
        <f>IF(T106="Change",INDEX('FY21 wRVU Changes'!$E:$E,MATCH(Specialty!J106,'FY21 wRVU Changes'!$C:$C,0)),INDEX('Specialty Lookup'!$B:$B,MATCH(Specialty!J106,'Specialty Lookup'!$A:$A,0)))</f>
        <v>91.185267321985151</v>
      </c>
      <c r="V106" s="15">
        <f>IFERROR(VLOOKUP(A101,'Count of Providers as of Jan 18'!A:B,2,FALSE),0)</f>
        <v>3</v>
      </c>
      <c r="W106" s="32">
        <f t="shared" si="7"/>
        <v>-91.185267321985151</v>
      </c>
    </row>
    <row r="107" spans="1:23">
      <c r="A107" s="16" t="s">
        <v>144</v>
      </c>
      <c r="B107" s="17">
        <v>5429</v>
      </c>
      <c r="C107" s="17">
        <v>4527</v>
      </c>
      <c r="D107" s="17">
        <f>VLOOKUP(A107,'[2]2017'!$B:$I,8,FALSE)</f>
        <v>7745</v>
      </c>
      <c r="E107" s="18">
        <f t="shared" ref="E107:E127" si="10">IFERROR(AVERAGE(B107:D107),0)</f>
        <v>5900.333333333333</v>
      </c>
      <c r="F107" s="19">
        <v>37</v>
      </c>
      <c r="G107" s="17">
        <v>14</v>
      </c>
      <c r="H107" s="17">
        <f>VLOOKUP(A107,'[2]2017'!$B:$D,3,FALSE)</f>
        <v>19</v>
      </c>
      <c r="I107" s="20">
        <f t="shared" ref="I107:I127" si="11">AVERAGE(F107:H107)</f>
        <v>23.333333333333332</v>
      </c>
      <c r="J107" s="21" t="s">
        <v>143</v>
      </c>
      <c r="K107" s="22">
        <v>208287</v>
      </c>
      <c r="L107" s="22">
        <v>197791</v>
      </c>
      <c r="M107" s="22">
        <v>212387</v>
      </c>
      <c r="N107" s="22">
        <f t="shared" si="5"/>
        <v>206155</v>
      </c>
      <c r="O107" s="17">
        <v>155</v>
      </c>
      <c r="P107" s="17">
        <v>126</v>
      </c>
      <c r="Q107" s="17">
        <v>125</v>
      </c>
      <c r="R107" s="20">
        <f t="shared" si="6"/>
        <v>135.33333333333334</v>
      </c>
      <c r="S107" s="23">
        <v>68.600383271333556</v>
      </c>
      <c r="U107" s="33">
        <f>IF(T107="Change",INDEX('FY21 wRVU Changes'!$E:$E,MATCH(Specialty!J107,'FY21 wRVU Changes'!$C:$C,0)),INDEX('Specialty Lookup'!$B:$B,MATCH(Specialty!J107,'Specialty Lookup'!$A:$A,0)))</f>
        <v>63.463013698630142</v>
      </c>
      <c r="V107" s="15">
        <f>IFERROR(VLOOKUP(A102,'Count of Providers as of Jan 18'!A:B,2,FALSE),0)</f>
        <v>12</v>
      </c>
      <c r="W107" s="32">
        <f t="shared" si="7"/>
        <v>5.1373695727034132</v>
      </c>
    </row>
    <row r="108" spans="1:23">
      <c r="A108" s="16" t="s">
        <v>145</v>
      </c>
      <c r="B108" s="17">
        <v>4850</v>
      </c>
      <c r="C108" s="17">
        <v>6360</v>
      </c>
      <c r="D108" s="17">
        <f>VLOOKUP(A108,'[2]2017'!$B:$I,8,FALSE)</f>
        <v>6559</v>
      </c>
      <c r="E108" s="18">
        <f t="shared" si="10"/>
        <v>5923</v>
      </c>
      <c r="F108" s="19">
        <v>67</v>
      </c>
      <c r="G108" s="17">
        <v>70</v>
      </c>
      <c r="H108" s="17">
        <f>VLOOKUP(A108,'[2]2017'!$B:$D,3,FALSE)</f>
        <v>67</v>
      </c>
      <c r="I108" s="20">
        <f t="shared" si="11"/>
        <v>68</v>
      </c>
      <c r="J108" s="21" t="s">
        <v>247</v>
      </c>
      <c r="K108" s="22">
        <v>184795</v>
      </c>
      <c r="L108" s="22" t="s">
        <v>50</v>
      </c>
      <c r="M108" s="22">
        <v>242050</v>
      </c>
      <c r="N108" s="22">
        <f t="shared" si="5"/>
        <v>213422.5</v>
      </c>
      <c r="O108" s="17">
        <v>18</v>
      </c>
      <c r="P108" s="17">
        <v>8</v>
      </c>
      <c r="Q108" s="17">
        <v>11</v>
      </c>
      <c r="R108" s="20">
        <f t="shared" si="6"/>
        <v>12.333333333333334</v>
      </c>
      <c r="S108" s="23">
        <v>62.367205090553114</v>
      </c>
      <c r="U108" s="33">
        <f>IF(T108="Change",INDEX('FY21 wRVU Changes'!$E:$E,MATCH(Specialty!J108,'FY21 wRVU Changes'!$C:$C,0)),INDEX('Specialty Lookup'!$B:$B,MATCH(Specialty!J108,'Specialty Lookup'!$A:$A,0)))</f>
        <v>63.463013698630142</v>
      </c>
      <c r="V108" s="15">
        <f>IFERROR(VLOOKUP(A103,'Count of Providers as of Jan 18'!A:B,2,FALSE),0)</f>
        <v>0</v>
      </c>
      <c r="W108" s="32">
        <f t="shared" si="7"/>
        <v>-1.0958086080770286</v>
      </c>
    </row>
    <row r="109" spans="1:23">
      <c r="A109" s="16" t="s">
        <v>146</v>
      </c>
      <c r="B109" s="17">
        <v>5617</v>
      </c>
      <c r="C109" s="17">
        <v>6917</v>
      </c>
      <c r="D109" s="17">
        <f>VLOOKUP(A109,'[2]2017'!$B:$I,8,FALSE)</f>
        <v>7211</v>
      </c>
      <c r="E109" s="18">
        <f t="shared" si="10"/>
        <v>6581.666666666667</v>
      </c>
      <c r="F109" s="19">
        <v>24</v>
      </c>
      <c r="G109" s="17">
        <v>33</v>
      </c>
      <c r="H109" s="17">
        <f>VLOOKUP(A109,'[2]2017'!$B:$D,3,FALSE)</f>
        <v>34</v>
      </c>
      <c r="I109" s="20">
        <f t="shared" si="11"/>
        <v>30.333333333333332</v>
      </c>
      <c r="J109" s="21" t="s">
        <v>144</v>
      </c>
      <c r="K109" s="22">
        <v>201070</v>
      </c>
      <c r="L109" s="22">
        <v>201150</v>
      </c>
      <c r="M109" s="22">
        <v>205296</v>
      </c>
      <c r="N109" s="22">
        <f t="shared" si="5"/>
        <v>202505.33333333334</v>
      </c>
      <c r="O109" s="17">
        <v>94</v>
      </c>
      <c r="P109" s="17">
        <v>48</v>
      </c>
      <c r="Q109" s="17">
        <v>85</v>
      </c>
      <c r="R109" s="20">
        <f t="shared" si="6"/>
        <v>75.666666666666671</v>
      </c>
      <c r="S109" s="23">
        <v>40.783940917661845</v>
      </c>
      <c r="U109" s="33">
        <f>IF(T109="Change",INDEX('FY21 wRVU Changes'!$E:$E,MATCH(Specialty!J109,'FY21 wRVU Changes'!$C:$C,0)),INDEX('Specialty Lookup'!$B:$B,MATCH(Specialty!J109,'Specialty Lookup'!$A:$A,0)))</f>
        <v>40.035332668471291</v>
      </c>
      <c r="V109" s="15">
        <f>IFERROR(VLOOKUP(A104,'Count of Providers as of Jan 18'!A:B,2,FALSE),0)</f>
        <v>20</v>
      </c>
      <c r="W109" s="32">
        <f t="shared" si="7"/>
        <v>0.74860824919055347</v>
      </c>
    </row>
    <row r="110" spans="1:23">
      <c r="A110" s="16" t="s">
        <v>147</v>
      </c>
      <c r="B110" s="17">
        <v>10453</v>
      </c>
      <c r="C110" s="17">
        <v>9827</v>
      </c>
      <c r="D110" s="17">
        <f>VLOOKUP(A110,'[2]2017'!$B:$I,8,FALSE)</f>
        <v>8809</v>
      </c>
      <c r="E110" s="18">
        <f t="shared" si="10"/>
        <v>9696.3333333333339</v>
      </c>
      <c r="F110" s="19">
        <v>107</v>
      </c>
      <c r="G110" s="17">
        <v>85</v>
      </c>
      <c r="H110" s="17">
        <f>VLOOKUP(A110,'[2]2017'!$B:$D,3,FALSE)</f>
        <v>87</v>
      </c>
      <c r="I110" s="20">
        <f t="shared" si="11"/>
        <v>93</v>
      </c>
      <c r="J110" s="21" t="s">
        <v>145</v>
      </c>
      <c r="K110" s="22">
        <v>184900</v>
      </c>
      <c r="L110" s="22">
        <v>202229</v>
      </c>
      <c r="M110" s="22">
        <v>209375</v>
      </c>
      <c r="N110" s="22">
        <f t="shared" si="5"/>
        <v>198834.66666666666</v>
      </c>
      <c r="O110" s="17">
        <v>335</v>
      </c>
      <c r="P110" s="17">
        <v>237</v>
      </c>
      <c r="Q110" s="17">
        <v>337</v>
      </c>
      <c r="R110" s="20">
        <f t="shared" si="6"/>
        <v>303</v>
      </c>
      <c r="S110" s="23">
        <v>37.463569392912831</v>
      </c>
      <c r="U110" s="33">
        <f>IF(T110="Change",INDEX('FY21 wRVU Changes'!$E:$E,MATCH(Specialty!J110,'FY21 wRVU Changes'!$C:$C,0)),INDEX('Specialty Lookup'!$B:$B,MATCH(Specialty!J110,'Specialty Lookup'!$A:$A,0)))</f>
        <v>39.435405141555485</v>
      </c>
      <c r="V110" s="15">
        <f>IFERROR(VLOOKUP(A105,'Count of Providers as of Jan 18'!A:B,2,FALSE),0)</f>
        <v>50</v>
      </c>
      <c r="W110" s="32">
        <f t="shared" si="7"/>
        <v>-1.9718357486426541</v>
      </c>
    </row>
    <row r="111" spans="1:23">
      <c r="A111" s="16" t="s">
        <v>148</v>
      </c>
      <c r="B111" s="17">
        <v>7392</v>
      </c>
      <c r="C111" s="17">
        <v>7995</v>
      </c>
      <c r="D111" s="17">
        <f>VLOOKUP(A111,'[2]2017'!$B:$I,8,FALSE)</f>
        <v>7605</v>
      </c>
      <c r="E111" s="18">
        <f t="shared" si="10"/>
        <v>7664</v>
      </c>
      <c r="F111" s="19">
        <v>555</v>
      </c>
      <c r="G111" s="17">
        <v>438</v>
      </c>
      <c r="H111" s="17">
        <f>VLOOKUP(A111,'[2]2017'!$B:$D,3,FALSE)</f>
        <v>457</v>
      </c>
      <c r="I111" s="20">
        <f t="shared" si="11"/>
        <v>483.33333333333331</v>
      </c>
      <c r="J111" s="21" t="s">
        <v>146</v>
      </c>
      <c r="K111" s="22" t="s">
        <v>50</v>
      </c>
      <c r="L111" s="22" t="s">
        <v>50</v>
      </c>
      <c r="M111" s="22">
        <v>0</v>
      </c>
      <c r="N111" s="22">
        <f t="shared" si="5"/>
        <v>0</v>
      </c>
      <c r="O111" s="17">
        <v>7</v>
      </c>
      <c r="P111" s="17" t="s">
        <v>50</v>
      </c>
      <c r="Q111" s="17">
        <v>6</v>
      </c>
      <c r="R111" s="20">
        <f t="shared" si="6"/>
        <v>6.5</v>
      </c>
      <c r="S111" s="23">
        <v>36.356932966023869</v>
      </c>
      <c r="U111" s="33">
        <f>IF(T111="Change",INDEX('FY21 wRVU Changes'!$E:$E,MATCH(Specialty!J111,'FY21 wRVU Changes'!$C:$C,0)),INDEX('Specialty Lookup'!$B:$B,MATCH(Specialty!J111,'Specialty Lookup'!$A:$A,0)))</f>
        <v>38.893576766625678</v>
      </c>
      <c r="V111" s="15">
        <f>IFERROR(VLOOKUP(A106,'Count of Providers as of Jan 18'!A:B,2,FALSE),0)</f>
        <v>0</v>
      </c>
      <c r="W111" s="32">
        <f t="shared" si="7"/>
        <v>-2.5366438006018086</v>
      </c>
    </row>
    <row r="112" spans="1:23">
      <c r="A112" s="16" t="s">
        <v>149</v>
      </c>
      <c r="B112" s="17">
        <v>7686</v>
      </c>
      <c r="C112" s="17">
        <v>8489</v>
      </c>
      <c r="D112" s="17">
        <f>VLOOKUP(A112,'[2]2017'!$B:$I,8,FALSE)</f>
        <v>8080</v>
      </c>
      <c r="E112" s="18">
        <f t="shared" si="10"/>
        <v>8085</v>
      </c>
      <c r="F112" s="19">
        <v>124</v>
      </c>
      <c r="G112" s="17">
        <v>69</v>
      </c>
      <c r="H112" s="17">
        <f>VLOOKUP(A112,'[2]2017'!$B:$D,3,FALSE)</f>
        <v>72</v>
      </c>
      <c r="I112" s="20">
        <f t="shared" si="11"/>
        <v>88.333333333333329</v>
      </c>
      <c r="J112" s="21" t="s">
        <v>147</v>
      </c>
      <c r="K112" s="22">
        <v>221997</v>
      </c>
      <c r="L112" s="22">
        <v>239542</v>
      </c>
      <c r="M112" s="22">
        <v>254634</v>
      </c>
      <c r="N112" s="22">
        <f t="shared" si="5"/>
        <v>238724.33333333334</v>
      </c>
      <c r="O112" s="17">
        <v>130</v>
      </c>
      <c r="P112" s="17">
        <v>52</v>
      </c>
      <c r="Q112" s="17">
        <v>66</v>
      </c>
      <c r="R112" s="20">
        <f t="shared" si="6"/>
        <v>82.666666666666671</v>
      </c>
      <c r="S112" s="23">
        <v>42.295248041775459</v>
      </c>
      <c r="U112" s="33">
        <f>IF(T112="Change",INDEX('FY21 wRVU Changes'!$E:$E,MATCH(Specialty!J112,'FY21 wRVU Changes'!$C:$C,0)),INDEX('Specialty Lookup'!$B:$B,MATCH(Specialty!J112,'Specialty Lookup'!$A:$A,0)))</f>
        <v>45.543016677687163</v>
      </c>
      <c r="V112" s="15">
        <f>IFERROR(VLOOKUP(A107,'Count of Providers as of Jan 18'!A:B,2,FALSE),0)</f>
        <v>1</v>
      </c>
      <c r="W112" s="32">
        <f t="shared" si="7"/>
        <v>-3.2477686359117044</v>
      </c>
    </row>
    <row r="113" spans="1:23">
      <c r="A113" s="16" t="s">
        <v>150</v>
      </c>
      <c r="B113" s="17">
        <v>12074</v>
      </c>
      <c r="C113" s="17">
        <v>10913</v>
      </c>
      <c r="D113" s="17">
        <f>VLOOKUP(A113,'[2]2017'!$B:$I,8,FALSE)</f>
        <v>11546</v>
      </c>
      <c r="E113" s="18">
        <f t="shared" si="10"/>
        <v>11511</v>
      </c>
      <c r="F113" s="19">
        <v>44</v>
      </c>
      <c r="G113" s="17">
        <v>54</v>
      </c>
      <c r="H113" s="17">
        <f>VLOOKUP(A113,'[2]2017'!$B:$D,3,FALSE)</f>
        <v>63</v>
      </c>
      <c r="I113" s="20">
        <f t="shared" si="11"/>
        <v>53.666666666666664</v>
      </c>
      <c r="J113" s="21" t="s">
        <v>148</v>
      </c>
      <c r="K113" s="22">
        <v>215143</v>
      </c>
      <c r="L113" s="22">
        <v>216300</v>
      </c>
      <c r="M113" s="22">
        <v>223550</v>
      </c>
      <c r="N113" s="22">
        <f t="shared" si="5"/>
        <v>218331</v>
      </c>
      <c r="O113" s="17">
        <v>170</v>
      </c>
      <c r="P113" s="17">
        <v>166</v>
      </c>
      <c r="Q113" s="17">
        <v>195</v>
      </c>
      <c r="R113" s="20">
        <f t="shared" si="6"/>
        <v>177</v>
      </c>
      <c r="S113" s="23">
        <v>47.29769715682491</v>
      </c>
      <c r="U113" s="33">
        <f>IF(T113="Change",INDEX('FY21 wRVU Changes'!$E:$E,MATCH(Specialty!J113,'FY21 wRVU Changes'!$C:$C,0)),INDEX('Specialty Lookup'!$B:$B,MATCH(Specialty!J113,'Specialty Lookup'!$A:$A,0)))</f>
        <v>47.727690040008426</v>
      </c>
      <c r="V113" s="15">
        <f>IFERROR(VLOOKUP(A108,'Count of Providers as of Jan 18'!A:B,2,FALSE),0)</f>
        <v>29</v>
      </c>
      <c r="W113" s="32">
        <f t="shared" si="7"/>
        <v>-0.42999288318351603</v>
      </c>
    </row>
    <row r="114" spans="1:23">
      <c r="A114" s="16" t="s">
        <v>151</v>
      </c>
      <c r="B114" s="17">
        <v>4970</v>
      </c>
      <c r="C114" s="17">
        <v>5224</v>
      </c>
      <c r="D114" s="17">
        <f>VLOOKUP(A114,'[2]2017'!$B:$I,8,FALSE)</f>
        <v>5357</v>
      </c>
      <c r="E114" s="18">
        <f t="shared" si="10"/>
        <v>5183.666666666667</v>
      </c>
      <c r="F114" s="19">
        <v>40</v>
      </c>
      <c r="G114" s="17">
        <v>44</v>
      </c>
      <c r="H114" s="17">
        <f>VLOOKUP(A114,'[2]2017'!$B:$D,3,FALSE)</f>
        <v>40</v>
      </c>
      <c r="I114" s="20">
        <f t="shared" si="11"/>
        <v>41.333333333333336</v>
      </c>
      <c r="J114" s="21" t="s">
        <v>149</v>
      </c>
      <c r="K114" s="22">
        <v>240448</v>
      </c>
      <c r="L114" s="22">
        <v>234874</v>
      </c>
      <c r="M114" s="22">
        <v>294311</v>
      </c>
      <c r="N114" s="22">
        <f t="shared" si="5"/>
        <v>256544.33333333334</v>
      </c>
      <c r="O114" s="17">
        <v>75</v>
      </c>
      <c r="P114" s="17">
        <v>76</v>
      </c>
      <c r="Q114" s="17">
        <v>60</v>
      </c>
      <c r="R114" s="20">
        <f t="shared" si="6"/>
        <v>70.333333333333329</v>
      </c>
      <c r="S114" s="23">
        <v>50.532283595767723</v>
      </c>
      <c r="U114" s="33">
        <f>IF(T114="Change",INDEX('FY21 wRVU Changes'!$E:$E,MATCH(Specialty!J114,'FY21 wRVU Changes'!$C:$C,0)),INDEX('Specialty Lookup'!$B:$B,MATCH(Specialty!J114,'Specialty Lookup'!$A:$A,0)))</f>
        <v>56.447132457386367</v>
      </c>
      <c r="V114" s="15">
        <f>IFERROR(VLOOKUP(A109,'Count of Providers as of Jan 18'!A:B,2,FALSE),0)</f>
        <v>0</v>
      </c>
      <c r="W114" s="32">
        <f t="shared" si="7"/>
        <v>-5.9148488616186441</v>
      </c>
    </row>
    <row r="115" spans="1:23">
      <c r="A115" s="16" t="s">
        <v>152</v>
      </c>
      <c r="B115" s="17">
        <v>4230</v>
      </c>
      <c r="C115" s="17">
        <v>4374</v>
      </c>
      <c r="D115" s="17">
        <f>VLOOKUP(A115,'[2]2017'!$B:$I,8,FALSE)</f>
        <v>4167</v>
      </c>
      <c r="E115" s="18">
        <f t="shared" si="10"/>
        <v>4257</v>
      </c>
      <c r="F115" s="19">
        <v>49</v>
      </c>
      <c r="G115" s="17">
        <v>60</v>
      </c>
      <c r="H115" s="17">
        <f>VLOOKUP(A115,'[2]2017'!$B:$D,3,FALSE)</f>
        <v>49</v>
      </c>
      <c r="I115" s="20">
        <f t="shared" si="11"/>
        <v>52.666666666666664</v>
      </c>
      <c r="J115" s="21" t="s">
        <v>150</v>
      </c>
      <c r="K115" s="22">
        <v>381000</v>
      </c>
      <c r="L115" s="22">
        <v>381000</v>
      </c>
      <c r="M115" s="22">
        <v>392865</v>
      </c>
      <c r="N115" s="22">
        <f t="shared" si="5"/>
        <v>384955</v>
      </c>
      <c r="O115" s="17">
        <v>183</v>
      </c>
      <c r="P115" s="17">
        <v>121</v>
      </c>
      <c r="Q115" s="17">
        <v>154</v>
      </c>
      <c r="R115" s="20">
        <f t="shared" si="6"/>
        <v>152.66666666666666</v>
      </c>
      <c r="S115" s="23">
        <v>32.975128492940271</v>
      </c>
      <c r="U115" s="33">
        <f>IF(T115="Change",INDEX('FY21 wRVU Changes'!$E:$E,MATCH(Specialty!J115,'FY21 wRVU Changes'!$C:$C,0)),INDEX('Specialty Lookup'!$B:$B,MATCH(Specialty!J115,'Specialty Lookup'!$A:$A,0)))</f>
        <v>33.775569572856362</v>
      </c>
      <c r="V115" s="15">
        <f>IFERROR(VLOOKUP(A110,'Count of Providers as of Jan 18'!A:B,2,FALSE),0)</f>
        <v>25</v>
      </c>
      <c r="W115" s="32">
        <f t="shared" si="7"/>
        <v>-0.80044107991609081</v>
      </c>
    </row>
    <row r="116" spans="1:23">
      <c r="A116" s="16" t="s">
        <v>153</v>
      </c>
      <c r="B116" s="17">
        <v>3102</v>
      </c>
      <c r="C116" s="17" t="s">
        <v>50</v>
      </c>
      <c r="D116" s="17">
        <f>VLOOKUP(A116,'[2]2017'!$B:$I,8,FALSE)</f>
        <v>0</v>
      </c>
      <c r="E116" s="18">
        <f t="shared" si="10"/>
        <v>1551</v>
      </c>
      <c r="F116" s="19">
        <v>10</v>
      </c>
      <c r="G116" s="17">
        <v>1</v>
      </c>
      <c r="H116" s="17">
        <f>VLOOKUP(A116,'[2]2017'!$B:$D,3,FALSE)</f>
        <v>5</v>
      </c>
      <c r="I116" s="20">
        <f t="shared" si="11"/>
        <v>5.333333333333333</v>
      </c>
      <c r="J116" s="21" t="s">
        <v>151</v>
      </c>
      <c r="K116" s="22">
        <v>345407</v>
      </c>
      <c r="L116" s="22">
        <v>346439</v>
      </c>
      <c r="M116" s="22">
        <v>357150</v>
      </c>
      <c r="N116" s="22">
        <f t="shared" si="5"/>
        <v>349665.33333333331</v>
      </c>
      <c r="O116" s="17">
        <v>894</v>
      </c>
      <c r="P116" s="17">
        <v>544</v>
      </c>
      <c r="Q116" s="17">
        <v>592</v>
      </c>
      <c r="R116" s="20">
        <f t="shared" si="6"/>
        <v>676.66666666666663</v>
      </c>
      <c r="S116" s="23">
        <v>59.798454367026494</v>
      </c>
      <c r="U116" s="33">
        <f>IF(T116="Change",INDEX('FY21 wRVU Changes'!$E:$E,MATCH(Specialty!J116,'FY21 wRVU Changes'!$C:$C,0)),INDEX('Specialty Lookup'!$B:$B,MATCH(Specialty!J116,'Specialty Lookup'!$A:$A,0)))</f>
        <v>60.614248844607161</v>
      </c>
      <c r="V116" s="15">
        <f>IFERROR(VLOOKUP(A111,'Count of Providers as of Jan 18'!A:B,2,FALSE),0)</f>
        <v>23</v>
      </c>
      <c r="W116" s="32">
        <f t="shared" si="7"/>
        <v>-0.81579447758066692</v>
      </c>
    </row>
    <row r="117" spans="1:23">
      <c r="A117" s="16" t="s">
        <v>154</v>
      </c>
      <c r="B117" s="17">
        <v>7010</v>
      </c>
      <c r="C117" s="17" t="s">
        <v>50</v>
      </c>
      <c r="D117" s="17">
        <f>VLOOKUP(A117,'[2]2017'!$B:$I,8,FALSE)</f>
        <v>6393</v>
      </c>
      <c r="E117" s="18">
        <f t="shared" si="10"/>
        <v>6701.5</v>
      </c>
      <c r="F117" s="19">
        <v>11</v>
      </c>
      <c r="G117" s="17">
        <v>9</v>
      </c>
      <c r="H117" s="17">
        <f>VLOOKUP(A117,'[2]2017'!$B:$D,3,FALSE)</f>
        <v>13</v>
      </c>
      <c r="I117" s="20">
        <f t="shared" si="11"/>
        <v>11</v>
      </c>
      <c r="J117" s="21" t="s">
        <v>152</v>
      </c>
      <c r="K117" s="22">
        <v>376294</v>
      </c>
      <c r="L117" s="22">
        <v>383289</v>
      </c>
      <c r="M117" s="22">
        <v>408063</v>
      </c>
      <c r="N117" s="22">
        <f t="shared" si="5"/>
        <v>389215.33333333331</v>
      </c>
      <c r="O117" s="17">
        <v>182</v>
      </c>
      <c r="P117" s="17">
        <v>85</v>
      </c>
      <c r="Q117" s="17">
        <v>117</v>
      </c>
      <c r="R117" s="20">
        <f t="shared" si="6"/>
        <v>128</v>
      </c>
      <c r="S117" s="23">
        <v>45.226537978656623</v>
      </c>
      <c r="U117" s="33">
        <f>IF(T117="Change",INDEX('FY21 wRVU Changes'!$E:$E,MATCH(Specialty!J117,'FY21 wRVU Changes'!$C:$C,0)),INDEX('Specialty Lookup'!$B:$B,MATCH(Specialty!J117,'Specialty Lookup'!$A:$A,0)))</f>
        <v>46.786173505833794</v>
      </c>
      <c r="V117" s="15">
        <f>IFERROR(VLOOKUP(A112,'Count of Providers as of Jan 18'!A:B,2,FALSE),0)</f>
        <v>10</v>
      </c>
      <c r="W117" s="32">
        <f t="shared" si="7"/>
        <v>-1.5596355271771714</v>
      </c>
    </row>
    <row r="118" spans="1:23">
      <c r="A118" s="16" t="s">
        <v>155</v>
      </c>
      <c r="B118" s="17">
        <v>13385</v>
      </c>
      <c r="C118" s="17">
        <v>12307</v>
      </c>
      <c r="D118" s="17">
        <f>VLOOKUP(A118,'[2]2017'!$B:$I,8,FALSE)</f>
        <v>12809</v>
      </c>
      <c r="E118" s="18">
        <f t="shared" si="10"/>
        <v>12833.666666666666</v>
      </c>
      <c r="F118" s="19">
        <v>51</v>
      </c>
      <c r="G118" s="17">
        <v>43</v>
      </c>
      <c r="H118" s="17">
        <f>VLOOKUP(A118,'[2]2017'!$B:$D,3,FALSE)</f>
        <v>43</v>
      </c>
      <c r="I118" s="20">
        <f t="shared" si="11"/>
        <v>45.666666666666664</v>
      </c>
      <c r="J118" s="21" t="s">
        <v>153</v>
      </c>
      <c r="K118" s="22">
        <v>339065</v>
      </c>
      <c r="L118" s="22">
        <v>349056</v>
      </c>
      <c r="M118" s="22">
        <v>367300</v>
      </c>
      <c r="N118" s="22">
        <f t="shared" si="5"/>
        <v>351807</v>
      </c>
      <c r="O118" s="17">
        <v>78</v>
      </c>
      <c r="P118" s="17">
        <v>72</v>
      </c>
      <c r="Q118" s="17">
        <v>73</v>
      </c>
      <c r="R118" s="20">
        <f t="shared" si="6"/>
        <v>74.333333333333329</v>
      </c>
      <c r="S118" s="23">
        <v>45.906516696573156</v>
      </c>
      <c r="U118" s="33">
        <f>IF(T118="Change",INDEX('FY21 wRVU Changes'!$E:$E,MATCH(Specialty!J118,'FY21 wRVU Changes'!$C:$C,0)),INDEX('Specialty Lookup'!$B:$B,MATCH(Specialty!J118,'Specialty Lookup'!$A:$A,0)))</f>
        <v>51.945465323058684</v>
      </c>
      <c r="V118" s="15">
        <f>IFERROR(VLOOKUP(A113,'Count of Providers as of Jan 18'!A:B,2,FALSE),0)</f>
        <v>6</v>
      </c>
      <c r="W118" s="32">
        <f t="shared" si="7"/>
        <v>-6.0389486264855279</v>
      </c>
    </row>
    <row r="119" spans="1:23">
      <c r="A119" s="16" t="s">
        <v>156</v>
      </c>
      <c r="B119" s="17">
        <v>8465</v>
      </c>
      <c r="C119" s="17">
        <v>8821</v>
      </c>
      <c r="D119" s="17">
        <f>VLOOKUP(A119,'[2]2017'!$B:$I,8,FALSE)</f>
        <v>8861</v>
      </c>
      <c r="E119" s="18">
        <f t="shared" si="10"/>
        <v>8715.6666666666661</v>
      </c>
      <c r="F119" s="19">
        <v>32</v>
      </c>
      <c r="G119" s="17">
        <v>20</v>
      </c>
      <c r="H119" s="17">
        <f>VLOOKUP(A119,'[2]2017'!$B:$D,3,FALSE)</f>
        <v>33</v>
      </c>
      <c r="I119" s="20">
        <f t="shared" si="11"/>
        <v>28.333333333333332</v>
      </c>
      <c r="J119" s="21" t="s">
        <v>248</v>
      </c>
      <c r="K119" s="22">
        <v>303184</v>
      </c>
      <c r="L119" s="22">
        <v>306218</v>
      </c>
      <c r="M119" s="22">
        <v>319358</v>
      </c>
      <c r="N119" s="22">
        <f t="shared" si="5"/>
        <v>309586.66666666669</v>
      </c>
      <c r="O119" s="17">
        <v>64</v>
      </c>
      <c r="P119" s="17">
        <v>74</v>
      </c>
      <c r="Q119" s="17">
        <v>56</v>
      </c>
      <c r="R119" s="20">
        <f t="shared" si="6"/>
        <v>64.666666666666671</v>
      </c>
      <c r="S119" s="23">
        <v>45.906516696573156</v>
      </c>
      <c r="U119" s="33">
        <f>IF(T119="Change",INDEX('FY21 wRVU Changes'!$E:$E,MATCH(Specialty!J119,'FY21 wRVU Changes'!$C:$C,0)),INDEX('Specialty Lookup'!$B:$B,MATCH(Specialty!J119,'Specialty Lookup'!$A:$A,0)))</f>
        <v>0</v>
      </c>
      <c r="V119" s="15">
        <f>IFERROR(VLOOKUP(A114,'Count of Providers as of Jan 18'!A:B,2,FALSE),0)</f>
        <v>3</v>
      </c>
      <c r="W119" s="32">
        <f t="shared" si="7"/>
        <v>45.906516696573156</v>
      </c>
    </row>
    <row r="120" spans="1:23">
      <c r="A120" s="16" t="s">
        <v>157</v>
      </c>
      <c r="B120" s="17">
        <v>9019</v>
      </c>
      <c r="C120" s="17">
        <v>8141</v>
      </c>
      <c r="D120" s="17">
        <f>VLOOKUP(A120,'[2]2017'!$B:$I,8,FALSE)</f>
        <v>7438</v>
      </c>
      <c r="E120" s="18">
        <f t="shared" si="10"/>
        <v>8199.3333333333339</v>
      </c>
      <c r="F120" s="19">
        <v>107</v>
      </c>
      <c r="G120" s="17">
        <v>87</v>
      </c>
      <c r="H120" s="17">
        <f>VLOOKUP(A120,'[2]2017'!$B:$D,3,FALSE)</f>
        <v>72</v>
      </c>
      <c r="I120" s="20">
        <f t="shared" si="11"/>
        <v>88.666666666666671</v>
      </c>
      <c r="J120" s="21" t="s">
        <v>154</v>
      </c>
      <c r="K120" s="22">
        <v>189520</v>
      </c>
      <c r="L120" s="22">
        <v>185809</v>
      </c>
      <c r="M120" s="22">
        <v>192281</v>
      </c>
      <c r="N120" s="22">
        <f t="shared" si="5"/>
        <v>189203.33333333334</v>
      </c>
      <c r="O120" s="17">
        <v>165</v>
      </c>
      <c r="P120" s="17">
        <v>134</v>
      </c>
      <c r="Q120" s="17">
        <v>115</v>
      </c>
      <c r="R120" s="20">
        <f t="shared" si="6"/>
        <v>138</v>
      </c>
      <c r="S120" s="23">
        <v>47.420938137321542</v>
      </c>
      <c r="U120" s="33">
        <f>IF(T120="Change",INDEX('FY21 wRVU Changes'!$E:$E,MATCH(Specialty!J120,'FY21 wRVU Changes'!$C:$C,0)),INDEX('Specialty Lookup'!$B:$B,MATCH(Specialty!J120,'Specialty Lookup'!$A:$A,0)))</f>
        <v>56.95027771843624</v>
      </c>
      <c r="V120" s="15">
        <f>IFERROR(VLOOKUP(A115,'Count of Providers as of Jan 18'!A:B,2,FALSE),0)</f>
        <v>10</v>
      </c>
      <c r="W120" s="32">
        <f t="shared" si="7"/>
        <v>-9.5293395811146979</v>
      </c>
    </row>
    <row r="121" spans="1:23">
      <c r="A121" s="16" t="s">
        <v>158</v>
      </c>
      <c r="B121" s="17">
        <v>10772</v>
      </c>
      <c r="C121" s="17">
        <v>10385</v>
      </c>
      <c r="D121" s="17">
        <f>VLOOKUP(A121,'[2]2017'!$B:$I,8,FALSE)</f>
        <v>9264</v>
      </c>
      <c r="E121" s="18">
        <f t="shared" si="10"/>
        <v>10140.333333333334</v>
      </c>
      <c r="F121" s="19">
        <v>150</v>
      </c>
      <c r="G121" s="17">
        <v>92</v>
      </c>
      <c r="H121" s="17">
        <f>VLOOKUP(A121,'[2]2017'!$B:$D,3,FALSE)</f>
        <v>96</v>
      </c>
      <c r="I121" s="20">
        <f t="shared" si="11"/>
        <v>112.66666666666667</v>
      </c>
      <c r="J121" s="21" t="s">
        <v>155</v>
      </c>
      <c r="K121" s="22">
        <v>197436</v>
      </c>
      <c r="L121" s="22">
        <v>192862</v>
      </c>
      <c r="M121" s="22">
        <v>217424</v>
      </c>
      <c r="N121" s="22">
        <f t="shared" si="5"/>
        <v>202574</v>
      </c>
      <c r="O121" s="17">
        <v>21</v>
      </c>
      <c r="P121" s="17">
        <v>11</v>
      </c>
      <c r="Q121" s="17">
        <v>19</v>
      </c>
      <c r="R121" s="20">
        <f t="shared" si="6"/>
        <v>17</v>
      </c>
      <c r="S121" s="23">
        <v>43.738780031320424</v>
      </c>
      <c r="T121" s="63" t="s">
        <v>236</v>
      </c>
      <c r="U121" s="33">
        <f>IF(T121="Change",INDEX('FY21 wRVU Changes'!$E:$E,MATCH(Specialty!J121,'FY21 wRVU Changes'!$C:$C,0)),INDEX('Specialty Lookup'!$B:$B,MATCH(Specialty!J121,'Specialty Lookup'!$A:$A,0)))</f>
        <v>52.441131237183868</v>
      </c>
      <c r="V121" s="15">
        <f>IFERROR(VLOOKUP(A116,'Count of Providers as of Jan 18'!A:B,2,FALSE),0)</f>
        <v>0</v>
      </c>
      <c r="W121" s="32">
        <f t="shared" si="7"/>
        <v>-8.7023512058634438</v>
      </c>
    </row>
    <row r="122" spans="1:23">
      <c r="A122" s="16" t="s">
        <v>159</v>
      </c>
      <c r="B122" s="17">
        <v>7938</v>
      </c>
      <c r="C122" s="17">
        <v>9658</v>
      </c>
      <c r="D122" s="17">
        <f>VLOOKUP(A122,'[2]2017'!$B:$I,8,FALSE)</f>
        <v>6603</v>
      </c>
      <c r="E122" s="18">
        <f t="shared" si="10"/>
        <v>8066.333333333333</v>
      </c>
      <c r="F122" s="19">
        <v>80</v>
      </c>
      <c r="G122" s="17">
        <v>49</v>
      </c>
      <c r="H122" s="17">
        <f>VLOOKUP(A122,'[2]2017'!$B:$D,3,FALSE)</f>
        <v>37</v>
      </c>
      <c r="I122" s="20">
        <f t="shared" si="11"/>
        <v>55.333333333333336</v>
      </c>
      <c r="J122" s="21" t="s">
        <v>156</v>
      </c>
      <c r="K122" s="22">
        <v>300595</v>
      </c>
      <c r="L122" s="22">
        <v>350805</v>
      </c>
      <c r="M122" s="22">
        <v>336557</v>
      </c>
      <c r="N122" s="22">
        <f t="shared" si="5"/>
        <v>329319</v>
      </c>
      <c r="O122" s="17">
        <v>25</v>
      </c>
      <c r="P122" s="17">
        <v>15</v>
      </c>
      <c r="Q122" s="17">
        <v>19</v>
      </c>
      <c r="R122" s="20">
        <f t="shared" si="6"/>
        <v>19.666666666666668</v>
      </c>
      <c r="S122" s="23">
        <v>45.906516696573156</v>
      </c>
      <c r="U122" s="33">
        <f>IF(T122="Change",INDEX('FY21 wRVU Changes'!$E:$E,MATCH(Specialty!J122,'FY21 wRVU Changes'!$C:$C,0)),INDEX('Specialty Lookup'!$B:$B,MATCH(Specialty!J122,'Specialty Lookup'!$A:$A,0)))</f>
        <v>46.536889897843359</v>
      </c>
      <c r="V122" s="15">
        <f>IFERROR(VLOOKUP(A117,'Count of Providers as of Jan 18'!A:B,2,FALSE),0)</f>
        <v>0</v>
      </c>
      <c r="W122" s="32">
        <f t="shared" si="7"/>
        <v>-0.6303732012702028</v>
      </c>
    </row>
    <row r="123" spans="1:23">
      <c r="A123" s="16" t="s">
        <v>160</v>
      </c>
      <c r="B123" s="17" t="s">
        <v>50</v>
      </c>
      <c r="C123" s="17" t="s">
        <v>50</v>
      </c>
      <c r="D123" s="17">
        <f>VLOOKUP(A123,'[2]2017'!$B:$I,8,FALSE)</f>
        <v>10326</v>
      </c>
      <c r="E123" s="18">
        <f t="shared" si="10"/>
        <v>10326</v>
      </c>
      <c r="F123" s="19">
        <v>7</v>
      </c>
      <c r="G123" s="17">
        <v>8</v>
      </c>
      <c r="H123" s="17">
        <f>VLOOKUP(A123,'[2]2017'!$B:$D,3,FALSE)</f>
        <v>10</v>
      </c>
      <c r="I123" s="20">
        <f t="shared" si="11"/>
        <v>8.3333333333333339</v>
      </c>
      <c r="J123" s="21" t="s">
        <v>157</v>
      </c>
      <c r="K123" s="22">
        <v>593954</v>
      </c>
      <c r="L123" s="22">
        <v>564648</v>
      </c>
      <c r="M123" s="22">
        <v>561952</v>
      </c>
      <c r="N123" s="22">
        <f t="shared" si="5"/>
        <v>573518</v>
      </c>
      <c r="O123" s="17">
        <v>85</v>
      </c>
      <c r="P123" s="17">
        <v>79</v>
      </c>
      <c r="Q123" s="17">
        <v>62</v>
      </c>
      <c r="R123" s="20">
        <f t="shared" si="6"/>
        <v>75.333333333333329</v>
      </c>
      <c r="S123" s="23">
        <v>59.121499622468079</v>
      </c>
      <c r="U123" s="33">
        <f>IF(T123="Change",INDEX('FY21 wRVU Changes'!$E:$E,MATCH(Specialty!J123,'FY21 wRVU Changes'!$C:$C,0)),INDEX('Specialty Lookup'!$B:$B,MATCH(Specialty!J123,'Specialty Lookup'!$A:$A,0)))</f>
        <v>48.670002793036033</v>
      </c>
      <c r="V123" s="15">
        <f>IFERROR(VLOOKUP(A118,'Count of Providers as of Jan 18'!A:B,2,FALSE),0)</f>
        <v>7</v>
      </c>
      <c r="W123" s="32">
        <f t="shared" si="7"/>
        <v>10.451496829432045</v>
      </c>
    </row>
    <row r="124" spans="1:23">
      <c r="A124" s="16" t="s">
        <v>161</v>
      </c>
      <c r="B124" s="17">
        <v>10706</v>
      </c>
      <c r="C124" s="17">
        <v>8524</v>
      </c>
      <c r="D124" s="17">
        <f>VLOOKUP(A124,'[2]2017'!$B:$I,8,FALSE)</f>
        <v>8246</v>
      </c>
      <c r="E124" s="18">
        <f t="shared" si="10"/>
        <v>9158.6666666666661</v>
      </c>
      <c r="F124" s="19">
        <v>81</v>
      </c>
      <c r="G124" s="17">
        <v>55</v>
      </c>
      <c r="H124" s="17">
        <f>VLOOKUP(A124,'[2]2017'!$B:$D,3,FALSE)</f>
        <v>49</v>
      </c>
      <c r="I124" s="20">
        <f t="shared" si="11"/>
        <v>61.666666666666664</v>
      </c>
      <c r="J124" s="21" t="s">
        <v>158</v>
      </c>
      <c r="K124" s="22">
        <v>340000</v>
      </c>
      <c r="L124" s="22">
        <v>371235</v>
      </c>
      <c r="M124" s="22">
        <v>339750</v>
      </c>
      <c r="N124" s="22">
        <f t="shared" si="5"/>
        <v>350328.33333333331</v>
      </c>
      <c r="O124" s="17">
        <v>52</v>
      </c>
      <c r="P124" s="17">
        <v>40</v>
      </c>
      <c r="Q124" s="17">
        <v>42</v>
      </c>
      <c r="R124" s="20">
        <f t="shared" si="6"/>
        <v>44.666666666666664</v>
      </c>
      <c r="S124" s="23">
        <v>46.599242105263158</v>
      </c>
      <c r="U124" s="33">
        <f>IF(T124="Change",INDEX('FY21 wRVU Changes'!$E:$E,MATCH(Specialty!J124,'FY21 wRVU Changes'!$C:$C,0)),INDEX('Specialty Lookup'!$B:$B,MATCH(Specialty!J124,'Specialty Lookup'!$A:$A,0)))</f>
        <v>60.703179867342961</v>
      </c>
      <c r="V124" s="15">
        <f>IFERROR(VLOOKUP(A119,'Count of Providers as of Jan 18'!A:B,2,FALSE),0)</f>
        <v>3</v>
      </c>
      <c r="W124" s="32">
        <f t="shared" si="7"/>
        <v>-14.103937762079802</v>
      </c>
    </row>
    <row r="125" spans="1:23">
      <c r="A125" s="16" t="s">
        <v>162</v>
      </c>
      <c r="B125" s="17" t="s">
        <v>50</v>
      </c>
      <c r="C125" s="17" t="s">
        <v>50</v>
      </c>
      <c r="D125" s="17">
        <f>VLOOKUP(A125,'[2]2017'!$B:$I,8,FALSE)</f>
        <v>8795</v>
      </c>
      <c r="E125" s="18">
        <f t="shared" si="10"/>
        <v>8795</v>
      </c>
      <c r="F125" s="19">
        <v>1</v>
      </c>
      <c r="G125" s="17">
        <v>3</v>
      </c>
      <c r="H125" s="17">
        <f>VLOOKUP(A125,'[2]2017'!$B:$D,3,FALSE)</f>
        <v>10</v>
      </c>
      <c r="I125" s="20">
        <f t="shared" si="11"/>
        <v>4.666666666666667</v>
      </c>
      <c r="J125" s="21" t="s">
        <v>159</v>
      </c>
      <c r="K125" s="22">
        <v>329196</v>
      </c>
      <c r="L125" s="22">
        <v>350000</v>
      </c>
      <c r="M125" s="22">
        <v>322918</v>
      </c>
      <c r="N125" s="22">
        <f t="shared" si="5"/>
        <v>334038</v>
      </c>
      <c r="O125" s="17">
        <v>230</v>
      </c>
      <c r="P125" s="17">
        <v>144</v>
      </c>
      <c r="Q125" s="17">
        <v>169</v>
      </c>
      <c r="R125" s="20">
        <f t="shared" si="6"/>
        <v>181</v>
      </c>
      <c r="S125" s="23">
        <v>45.906516696573156</v>
      </c>
      <c r="U125" s="33">
        <f>IF(T125="Change",INDEX('FY21 wRVU Changes'!$E:$E,MATCH(Specialty!J125,'FY21 wRVU Changes'!$C:$C,0)),INDEX('Specialty Lookup'!$B:$B,MATCH(Specialty!J125,'Specialty Lookup'!$A:$A,0)))</f>
        <v>50.065328206045429</v>
      </c>
      <c r="V125" s="15">
        <f>IFERROR(VLOOKUP(A120,'Count of Providers as of Jan 18'!A:B,2,FALSE),0)</f>
        <v>4</v>
      </c>
      <c r="W125" s="32">
        <f t="shared" si="7"/>
        <v>-4.1588115094722724</v>
      </c>
    </row>
    <row r="126" spans="1:23">
      <c r="A126" s="16" t="s">
        <v>163</v>
      </c>
      <c r="B126" s="17">
        <v>8795</v>
      </c>
      <c r="C126" s="17">
        <v>6780</v>
      </c>
      <c r="D126" s="17">
        <f>VLOOKUP(A126,'[2]2017'!$B:$I,8,FALSE)</f>
        <v>9687</v>
      </c>
      <c r="E126" s="18">
        <f t="shared" si="10"/>
        <v>8420.6666666666661</v>
      </c>
      <c r="F126" s="19">
        <v>65</v>
      </c>
      <c r="G126" s="17">
        <v>34</v>
      </c>
      <c r="H126" s="17">
        <f>VLOOKUP(A126,'[2]2017'!$B:$D,3,FALSE)</f>
        <v>37</v>
      </c>
      <c r="I126" s="20">
        <f t="shared" si="11"/>
        <v>45.333333333333336</v>
      </c>
      <c r="J126" s="21" t="s">
        <v>160</v>
      </c>
      <c r="K126" s="22">
        <v>540781</v>
      </c>
      <c r="L126" s="22">
        <v>547541</v>
      </c>
      <c r="M126" s="22">
        <v>599992</v>
      </c>
      <c r="N126" s="22">
        <f t="shared" si="5"/>
        <v>562771.33333333337</v>
      </c>
      <c r="O126" s="17">
        <v>233</v>
      </c>
      <c r="P126" s="17">
        <v>149</v>
      </c>
      <c r="Q126" s="17">
        <v>191</v>
      </c>
      <c r="R126" s="20">
        <f t="shared" si="6"/>
        <v>191</v>
      </c>
      <c r="S126" s="23">
        <v>54.295788519875508</v>
      </c>
      <c r="U126" s="33">
        <f>IF(T126="Change",INDEX('FY21 wRVU Changes'!$E:$E,MATCH(Specialty!J126,'FY21 wRVU Changes'!$C:$C,0)),INDEX('Specialty Lookup'!$B:$B,MATCH(Specialty!J126,'Specialty Lookup'!$A:$A,0)))</f>
        <v>48.670002793036033</v>
      </c>
      <c r="V126" s="15">
        <f>IFERROR(VLOOKUP(A121,'Count of Providers as of Jan 18'!A:B,2,FALSE),0)</f>
        <v>8</v>
      </c>
      <c r="W126" s="32">
        <f t="shared" si="7"/>
        <v>5.6257857268394744</v>
      </c>
    </row>
    <row r="127" spans="1:23">
      <c r="A127" s="16" t="s">
        <v>164</v>
      </c>
      <c r="B127" s="17">
        <v>8655</v>
      </c>
      <c r="C127" s="17">
        <v>6525</v>
      </c>
      <c r="D127" s="17">
        <f>VLOOKUP(A127,'[2]2017'!$B:$I,8,FALSE)</f>
        <v>6008</v>
      </c>
      <c r="E127" s="18">
        <f t="shared" si="10"/>
        <v>7062.666666666667</v>
      </c>
      <c r="F127" s="19">
        <v>36</v>
      </c>
      <c r="G127" s="17">
        <v>49</v>
      </c>
      <c r="H127" s="17">
        <f>VLOOKUP(A127,'[2]2017'!$B:$D,3,FALSE)</f>
        <v>39</v>
      </c>
      <c r="I127" s="20">
        <f t="shared" si="11"/>
        <v>41.333333333333336</v>
      </c>
      <c r="J127" s="21" t="s">
        <v>161</v>
      </c>
      <c r="K127" s="22">
        <v>332257</v>
      </c>
      <c r="L127" s="22">
        <v>361794</v>
      </c>
      <c r="M127" s="22">
        <v>360538</v>
      </c>
      <c r="N127" s="22">
        <f t="shared" si="5"/>
        <v>351529.66666666669</v>
      </c>
      <c r="O127" s="17">
        <v>124</v>
      </c>
      <c r="P127" s="17">
        <v>84</v>
      </c>
      <c r="Q127" s="17">
        <v>70</v>
      </c>
      <c r="R127" s="20">
        <f t="shared" si="6"/>
        <v>92.666666666666671</v>
      </c>
      <c r="S127" s="23">
        <v>54.295788519875508</v>
      </c>
      <c r="U127" s="33">
        <f>IF(T127="Change",INDEX('FY21 wRVU Changes'!$E:$E,MATCH(Specialty!J127,'FY21 wRVU Changes'!$C:$C,0)),INDEX('Specialty Lookup'!$B:$B,MATCH(Specialty!J127,'Specialty Lookup'!$A:$A,0)))</f>
        <v>53.307313421073367</v>
      </c>
      <c r="V127" s="15">
        <f>IFERROR(VLOOKUP(A122,'Count of Providers as of Jan 18'!A:B,2,FALSE),0)</f>
        <v>10</v>
      </c>
      <c r="W127" s="32">
        <f t="shared" si="7"/>
        <v>0.98847509880214091</v>
      </c>
    </row>
    <row r="128" spans="1:23">
      <c r="A128" s="16" t="str">
        <f>J133</f>
        <v>Surgery: Trauma-Burn</v>
      </c>
      <c r="F128" s="19"/>
      <c r="I128" s="20"/>
      <c r="J128" s="21" t="s">
        <v>162</v>
      </c>
      <c r="K128" s="22">
        <v>316267</v>
      </c>
      <c r="L128" s="22">
        <v>342684</v>
      </c>
      <c r="M128" s="22">
        <v>361267</v>
      </c>
      <c r="N128" s="22">
        <f t="shared" si="5"/>
        <v>340072.66666666669</v>
      </c>
      <c r="O128" s="17">
        <v>12</v>
      </c>
      <c r="P128" s="17">
        <v>11</v>
      </c>
      <c r="Q128" s="17">
        <v>20</v>
      </c>
      <c r="R128" s="20">
        <f t="shared" si="6"/>
        <v>14.333333333333334</v>
      </c>
      <c r="S128" s="23">
        <v>52.045529326242487</v>
      </c>
      <c r="U128" s="33">
        <f>IF(T128="Change",INDEX('FY21 wRVU Changes'!$E:$E,MATCH(Specialty!J128,'FY21 wRVU Changes'!$C:$C,0)),INDEX('Specialty Lookup'!$B:$B,MATCH(Specialty!J128,'Specialty Lookup'!$A:$A,0)))</f>
        <v>53.307313421073367</v>
      </c>
      <c r="V128" s="15">
        <f>IFERROR(VLOOKUP(A123,'Count of Providers as of Jan 18'!A:B,2,FALSE),0)</f>
        <v>0</v>
      </c>
      <c r="W128" s="32">
        <f t="shared" si="7"/>
        <v>-1.2617840948308796</v>
      </c>
    </row>
    <row r="129" spans="1:23">
      <c r="A129" s="16" t="s">
        <v>165</v>
      </c>
      <c r="B129" s="17" t="s">
        <v>50</v>
      </c>
      <c r="C129" s="17" t="s">
        <v>50</v>
      </c>
      <c r="D129" s="17">
        <f>VLOOKUP(A129,'[2]2017'!$B:$I,8,FALSE)</f>
        <v>0</v>
      </c>
      <c r="E129" s="18">
        <f>IFERROR(AVERAGE(B129:D129),0)</f>
        <v>0</v>
      </c>
      <c r="F129" s="19">
        <v>5</v>
      </c>
      <c r="G129" s="17">
        <v>3</v>
      </c>
      <c r="H129" s="17">
        <f>VLOOKUP(A129,'[2]2017'!$B:$D,3,FALSE)</f>
        <v>6</v>
      </c>
      <c r="I129" s="20">
        <f>AVERAGE(F129:H129)</f>
        <v>4.666666666666667</v>
      </c>
      <c r="J129" s="21" t="s">
        <v>163</v>
      </c>
      <c r="K129" s="22">
        <v>431500</v>
      </c>
      <c r="L129" s="22">
        <v>444072</v>
      </c>
      <c r="M129" s="22">
        <v>430200</v>
      </c>
      <c r="N129" s="22">
        <f t="shared" si="5"/>
        <v>435257.33333333331</v>
      </c>
      <c r="O129" s="17">
        <v>132</v>
      </c>
      <c r="P129" s="17">
        <v>91</v>
      </c>
      <c r="Q129" s="17">
        <v>82</v>
      </c>
      <c r="R129" s="20">
        <f t="shared" si="6"/>
        <v>101.66666666666667</v>
      </c>
      <c r="S129" s="23">
        <v>67.016180750826294</v>
      </c>
      <c r="U129" s="33">
        <f>IF(T129="Change",INDEX('FY21 wRVU Changes'!$E:$E,MATCH(Specialty!J129,'FY21 wRVU Changes'!$C:$C,0)),INDEX('Specialty Lookup'!$B:$B,MATCH(Specialty!J129,'Specialty Lookup'!$A:$A,0)))</f>
        <v>51.095112560269179</v>
      </c>
      <c r="V129" s="15">
        <f>IFERROR(VLOOKUP(A124,'Count of Providers as of Jan 18'!A:B,2,FALSE),0)</f>
        <v>7</v>
      </c>
      <c r="W129" s="32">
        <f t="shared" si="7"/>
        <v>15.921068190557115</v>
      </c>
    </row>
    <row r="130" spans="1:23">
      <c r="A130" s="16" t="s">
        <v>166</v>
      </c>
      <c r="B130" s="17">
        <v>8479</v>
      </c>
      <c r="C130" s="17">
        <v>8980</v>
      </c>
      <c r="D130" s="17">
        <f>VLOOKUP(A130,'[2]2017'!$B:$I,8,FALSE)</f>
        <v>9678</v>
      </c>
      <c r="E130" s="18">
        <f>IFERROR(AVERAGE(B130:D130),0)</f>
        <v>9045.6666666666661</v>
      </c>
      <c r="F130" s="19">
        <v>83</v>
      </c>
      <c r="G130" s="17">
        <v>57</v>
      </c>
      <c r="H130" s="17">
        <f>VLOOKUP(A130,'[2]2017'!$B:$D,3,FALSE)</f>
        <v>50</v>
      </c>
      <c r="I130" s="20">
        <f>AVERAGE(F130:H130)</f>
        <v>63.333333333333336</v>
      </c>
      <c r="J130" s="21" t="s">
        <v>164</v>
      </c>
      <c r="K130" s="22" t="s">
        <v>50</v>
      </c>
      <c r="L130" s="22">
        <v>408666</v>
      </c>
      <c r="M130" s="22">
        <v>484309</v>
      </c>
      <c r="N130" s="22">
        <f t="shared" si="5"/>
        <v>446487.5</v>
      </c>
      <c r="O130" s="17">
        <v>6</v>
      </c>
      <c r="P130" s="17">
        <v>10</v>
      </c>
      <c r="Q130" s="17">
        <v>13</v>
      </c>
      <c r="R130" s="20">
        <f t="shared" si="6"/>
        <v>9.6666666666666661</v>
      </c>
      <c r="S130" s="23">
        <v>45.906516696573156</v>
      </c>
      <c r="U130" s="33">
        <f>IF(T130="Change",INDEX('FY21 wRVU Changes'!$E:$E,MATCH(Specialty!J130,'FY21 wRVU Changes'!$C:$C,0)),INDEX('Specialty Lookup'!$B:$B,MATCH(Specialty!J130,'Specialty Lookup'!$A:$A,0)))</f>
        <v>67.922640961054057</v>
      </c>
      <c r="V130" s="15">
        <f>IFERROR(VLOOKUP(A125,'Count of Providers as of Jan 18'!A:B,2,FALSE),0)</f>
        <v>1</v>
      </c>
      <c r="W130" s="32">
        <f t="shared" si="7"/>
        <v>-22.016124264480901</v>
      </c>
    </row>
    <row r="131" spans="1:23">
      <c r="A131" s="16" t="s">
        <v>167</v>
      </c>
      <c r="B131" s="17" t="s">
        <v>50</v>
      </c>
      <c r="C131" s="17" t="s">
        <v>50</v>
      </c>
      <c r="D131" s="17">
        <f>VLOOKUP(A131,'[2]2017'!$B:$I,8,FALSE)</f>
        <v>8364</v>
      </c>
      <c r="E131" s="18">
        <f>IFERROR(AVERAGE(B131:D131),0)</f>
        <v>8364</v>
      </c>
      <c r="F131" s="19">
        <v>9</v>
      </c>
      <c r="G131" s="17">
        <v>9</v>
      </c>
      <c r="H131" s="17">
        <f>VLOOKUP(A131,'[2]2017'!$B:$D,3,FALSE)</f>
        <v>10</v>
      </c>
      <c r="I131" s="20">
        <f>AVERAGE(F131:H131)</f>
        <v>9.3333333333333339</v>
      </c>
      <c r="J131" s="21" t="s">
        <v>165</v>
      </c>
      <c r="K131" s="22">
        <v>473478</v>
      </c>
      <c r="L131" s="22">
        <v>402094</v>
      </c>
      <c r="M131" s="22">
        <v>427204</v>
      </c>
      <c r="N131" s="22">
        <f t="shared" si="5"/>
        <v>434258.66666666669</v>
      </c>
      <c r="O131" s="17">
        <v>88</v>
      </c>
      <c r="P131" s="17">
        <v>53</v>
      </c>
      <c r="Q131" s="17">
        <v>47</v>
      </c>
      <c r="R131" s="20">
        <f t="shared" si="6"/>
        <v>62.666666666666664</v>
      </c>
      <c r="S131" s="23">
        <v>43.445060391350644</v>
      </c>
      <c r="U131" s="33">
        <f>IF(T131="Change",INDEX('FY21 wRVU Changes'!$E:$E,MATCH(Specialty!J131,'FY21 wRVU Changes'!$C:$C,0)),INDEX('Specialty Lookup'!$B:$B,MATCH(Specialty!J131,'Specialty Lookup'!$A:$A,0)))</f>
        <v>48.670002793036033</v>
      </c>
      <c r="V131" s="15">
        <f>IFERROR(VLOOKUP(A126,'Count of Providers as of Jan 18'!A:B,2,FALSE),0)</f>
        <v>0</v>
      </c>
      <c r="W131" s="32">
        <f t="shared" si="7"/>
        <v>-5.2249424016853894</v>
      </c>
    </row>
    <row r="132" spans="1:23">
      <c r="A132" s="16" t="s">
        <v>168</v>
      </c>
      <c r="B132" s="17">
        <v>10484</v>
      </c>
      <c r="C132" s="17">
        <v>10161</v>
      </c>
      <c r="D132" s="17">
        <f>VLOOKUP(A132,'[2]2017'!$B:$I,8,FALSE)</f>
        <v>8708</v>
      </c>
      <c r="E132" s="18">
        <f>IFERROR(AVERAGE(B132:D132),0)</f>
        <v>9784.3333333333339</v>
      </c>
      <c r="F132" s="19">
        <v>50</v>
      </c>
      <c r="G132" s="17">
        <v>40</v>
      </c>
      <c r="H132" s="17">
        <f>VLOOKUP(A132,'[2]2017'!$B:$D,3,FALSE)</f>
        <v>37</v>
      </c>
      <c r="I132" s="20">
        <f>AVERAGE(F132:H132)</f>
        <v>42.333333333333336</v>
      </c>
      <c r="J132" s="21" t="s">
        <v>166</v>
      </c>
      <c r="K132" s="22">
        <v>391200</v>
      </c>
      <c r="L132" s="22">
        <v>397925</v>
      </c>
      <c r="M132" s="22">
        <v>470775</v>
      </c>
      <c r="N132" s="22">
        <f t="shared" si="5"/>
        <v>419966.66666666669</v>
      </c>
      <c r="O132" s="17">
        <v>69</v>
      </c>
      <c r="P132" s="17">
        <v>69</v>
      </c>
      <c r="Q132" s="17">
        <v>49</v>
      </c>
      <c r="R132" s="20">
        <f t="shared" si="6"/>
        <v>62.333333333333336</v>
      </c>
      <c r="S132" s="23">
        <v>45.906516696573156</v>
      </c>
      <c r="U132" s="33">
        <f>IF(T132="Change",INDEX('FY21 wRVU Changes'!$E:$E,MATCH(Specialty!J132,'FY21 wRVU Changes'!$C:$C,0)),INDEX('Specialty Lookup'!$B:$B,MATCH(Specialty!J132,'Specialty Lookup'!$A:$A,0)))</f>
        <v>45.02076712733723</v>
      </c>
      <c r="V132" s="15">
        <f>IFERROR(VLOOKUP(A127,'Count of Providers as of Jan 18'!A:B,2,FALSE),0)</f>
        <v>4</v>
      </c>
      <c r="W132" s="32">
        <f t="shared" si="7"/>
        <v>0.88574956923592651</v>
      </c>
    </row>
    <row r="133" spans="1:23">
      <c r="A133" s="16" t="s">
        <v>169</v>
      </c>
      <c r="B133" s="17">
        <v>8324</v>
      </c>
      <c r="C133" s="17">
        <v>8640</v>
      </c>
      <c r="D133" s="17">
        <f>VLOOKUP(A133,'[2]2017'!$B:$I,8,FALSE)</f>
        <v>9208</v>
      </c>
      <c r="E133" s="18">
        <f>IFERROR(AVERAGE(B133:D133),0)</f>
        <v>8724</v>
      </c>
      <c r="F133" s="19">
        <v>111</v>
      </c>
      <c r="G133" s="17">
        <v>105</v>
      </c>
      <c r="H133" s="17">
        <f>VLOOKUP(A133,'[2]2017'!$B:$D,3,FALSE)</f>
        <v>97</v>
      </c>
      <c r="I133" s="20">
        <f>AVERAGE(F133:H133)</f>
        <v>104.33333333333333</v>
      </c>
      <c r="J133" s="21" t="s">
        <v>167</v>
      </c>
      <c r="K133" s="22" t="s">
        <v>50</v>
      </c>
      <c r="L133" s="22" t="s">
        <v>50</v>
      </c>
      <c r="M133" s="22">
        <v>368431</v>
      </c>
      <c r="N133" s="22">
        <f t="shared" si="5"/>
        <v>368431</v>
      </c>
      <c r="O133" s="17">
        <v>9</v>
      </c>
      <c r="P133" s="17">
        <v>1</v>
      </c>
      <c r="Q133" s="17">
        <v>12</v>
      </c>
      <c r="R133" s="20">
        <f t="shared" si="6"/>
        <v>7.333333333333333</v>
      </c>
      <c r="S133" s="23">
        <v>44.244875668984598</v>
      </c>
      <c r="U133" s="33">
        <f>IF(T133="Change",INDEX('FY21 wRVU Changes'!$E:$E,MATCH(Specialty!J133,'FY21 wRVU Changes'!$C:$C,0)),INDEX('Specialty Lookup'!$B:$B,MATCH(Specialty!J133,'Specialty Lookup'!$A:$A,0)))</f>
        <v>48.670002793036033</v>
      </c>
      <c r="V133" s="15">
        <f>IFERROR(VLOOKUP(A128,'Count of Providers as of Jan 18'!A:B,2,FALSE),0)</f>
        <v>5</v>
      </c>
      <c r="W133" s="32">
        <f t="shared" si="7"/>
        <v>-4.4251271240514356</v>
      </c>
    </row>
    <row r="134" spans="1:23">
      <c r="A134" s="16"/>
      <c r="F134" s="19"/>
      <c r="I134" s="20"/>
      <c r="J134" s="21" t="s">
        <v>168</v>
      </c>
      <c r="K134" s="22">
        <v>329833</v>
      </c>
      <c r="L134" s="22" t="s">
        <v>50</v>
      </c>
      <c r="M134" s="22">
        <v>400060</v>
      </c>
      <c r="N134" s="22">
        <f t="shared" si="5"/>
        <v>364946.5</v>
      </c>
      <c r="O134" s="17">
        <v>10</v>
      </c>
      <c r="P134" s="17">
        <v>4</v>
      </c>
      <c r="Q134" s="17">
        <v>11</v>
      </c>
      <c r="R134" s="20">
        <f t="shared" si="6"/>
        <v>8.3333333333333339</v>
      </c>
      <c r="S134" s="23">
        <v>43.063624869849768</v>
      </c>
      <c r="U134" s="33">
        <f>IF(T134="Change",INDEX('FY21 wRVU Changes'!$E:$E,MATCH(Specialty!J134,'FY21 wRVU Changes'!$C:$C,0)),INDEX('Specialty Lookup'!$B:$B,MATCH(Specialty!J134,'Specialty Lookup'!$A:$A,0)))</f>
        <v>46.951634723788047</v>
      </c>
      <c r="V134" s="15">
        <f>IFERROR(VLOOKUP(A129,'Count of Providers as of Jan 18'!A:B,2,FALSE),0)</f>
        <v>0</v>
      </c>
      <c r="W134" s="32">
        <f t="shared" si="7"/>
        <v>-3.8880098539382786</v>
      </c>
    </row>
    <row r="135" spans="1:23">
      <c r="J135" s="15" t="s">
        <v>169</v>
      </c>
      <c r="U135" s="33">
        <f>IF(T135="Change",INDEX('FY21 wRVU Changes'!$E:$E,MATCH(Specialty!J135,'FY21 wRVU Changes'!$C:$C,0)),INDEX('Specialty Lookup'!$B:$B,MATCH(Specialty!J135,'Specialty Lookup'!$A:$A,0)))</f>
        <v>44.359220005280434</v>
      </c>
      <c r="V135" s="15">
        <f>IFERROR(VLOOKUP(A130,'Count of Providers as of Jan 18'!A:B,2,FALSE),0)</f>
        <v>9</v>
      </c>
      <c r="W135" s="32">
        <f t="shared" si="7"/>
        <v>-44.359220005280434</v>
      </c>
    </row>
    <row r="136" spans="1:23">
      <c r="J136" s="15" t="s">
        <v>41</v>
      </c>
      <c r="U136" s="33">
        <f>IF(T136="Change",INDEX('FY21 wRVU Changes'!$E:$E,MATCH(Specialty!J136,'FY21 wRVU Changes'!$C:$C,0)),INDEX('Specialty Lookup'!$B:$B,MATCH(Specialty!J136,'Specialty Lookup'!$A:$A,0)))</f>
        <v>64.900000000000006</v>
      </c>
      <c r="V136" s="15">
        <f>IFERROR(VLOOKUP(A131,'Count of Providers as of Jan 18'!A:B,2,FALSE),0)</f>
        <v>5</v>
      </c>
      <c r="W136" s="32">
        <f t="shared" ref="W136:W139" si="12">S136-U136</f>
        <v>-64.900000000000006</v>
      </c>
    </row>
    <row r="137" spans="1:23">
      <c r="J137" s="15" t="s">
        <v>109</v>
      </c>
      <c r="U137" s="33">
        <f>IF(T137="Change",INDEX('FY21 wRVU Changes'!$E:$E,MATCH(Specialty!J137,'FY21 wRVU Changes'!$C:$C,0)),INDEX('Specialty Lookup'!$B:$B,MATCH(Specialty!J137,'Specialty Lookup'!$A:$A,0)))</f>
        <v>81.125</v>
      </c>
      <c r="V137" s="15">
        <f>IFERROR(VLOOKUP(A132,'Count of Providers as of Jan 18'!A:B,2,FALSE),0)</f>
        <v>7</v>
      </c>
      <c r="W137" s="32">
        <f t="shared" si="12"/>
        <v>-81.125</v>
      </c>
    </row>
    <row r="138" spans="1:23">
      <c r="J138" s="21" t="s">
        <v>201</v>
      </c>
      <c r="K138" s="22">
        <v>379174</v>
      </c>
      <c r="L138" s="22">
        <v>368834</v>
      </c>
      <c r="M138" s="22">
        <v>394485</v>
      </c>
      <c r="N138" s="22">
        <f>IFERROR(AVERAGE(K138:M138),0)</f>
        <v>380831</v>
      </c>
      <c r="O138" s="17">
        <v>137</v>
      </c>
      <c r="P138" s="17">
        <v>78</v>
      </c>
      <c r="Q138" s="17">
        <v>98</v>
      </c>
      <c r="R138" s="20">
        <f>AVERAGE(O138:Q138)</f>
        <v>104.33333333333333</v>
      </c>
      <c r="S138" s="23">
        <v>47.83</v>
      </c>
      <c r="U138" s="33">
        <v>53.560955531894301</v>
      </c>
      <c r="V138" s="15">
        <f>IFERROR(VLOOKUP(A133,'Count of Providers as of Jan 18'!A:B,2,FALSE),0)</f>
        <v>13</v>
      </c>
      <c r="W138" s="32">
        <f t="shared" si="12"/>
        <v>-5.7309555318943026</v>
      </c>
    </row>
    <row r="139" spans="1:23">
      <c r="J139" s="21" t="s">
        <v>202</v>
      </c>
      <c r="K139" s="22"/>
      <c r="L139" s="22"/>
      <c r="M139" s="22"/>
      <c r="N139" s="22"/>
      <c r="O139" s="17"/>
      <c r="P139" s="17"/>
      <c r="Q139" s="17"/>
      <c r="R139" s="20"/>
      <c r="S139" s="23">
        <v>51.52</v>
      </c>
      <c r="U139" s="33">
        <v>53.881193275130947</v>
      </c>
      <c r="W139" s="32">
        <f t="shared" si="12"/>
        <v>-2.3611932751309439</v>
      </c>
    </row>
    <row r="140" spans="1:23">
      <c r="J140" s="64"/>
      <c r="W140" s="32"/>
    </row>
    <row r="141" spans="1:23">
      <c r="W141" s="32"/>
    </row>
    <row r="142" spans="1:23">
      <c r="W142" s="32"/>
    </row>
    <row r="143" spans="1:23">
      <c r="W143" s="32"/>
    </row>
    <row r="144" spans="1:23">
      <c r="W144" s="32"/>
    </row>
  </sheetData>
  <autoFilter ref="A1:W14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sqref="A1:B1"/>
    </sheetView>
  </sheetViews>
  <sheetFormatPr defaultColWidth="8.85546875" defaultRowHeight="15"/>
  <cols>
    <col min="1" max="1" width="44.5703125" style="15" bestFit="1" customWidth="1"/>
    <col min="2" max="16384" width="8.85546875" style="15"/>
  </cols>
  <sheetData>
    <row r="1" spans="1:2">
      <c r="A1" s="26" t="s">
        <v>40</v>
      </c>
      <c r="B1" s="27">
        <v>6</v>
      </c>
    </row>
    <row r="2" spans="1:2">
      <c r="A2" s="26" t="s">
        <v>41</v>
      </c>
      <c r="B2" s="27">
        <v>62</v>
      </c>
    </row>
    <row r="3" spans="1:2">
      <c r="A3" s="26" t="s">
        <v>42</v>
      </c>
      <c r="B3" s="27">
        <v>6</v>
      </c>
    </row>
    <row r="4" spans="1:2">
      <c r="A4" s="26" t="s">
        <v>43</v>
      </c>
      <c r="B4" s="27">
        <v>6</v>
      </c>
    </row>
    <row r="5" spans="1:2">
      <c r="A5" s="26" t="s">
        <v>44</v>
      </c>
      <c r="B5" s="27">
        <v>2</v>
      </c>
    </row>
    <row r="6" spans="1:2">
      <c r="A6" s="26" t="s">
        <v>45</v>
      </c>
      <c r="B6" s="27">
        <v>6</v>
      </c>
    </row>
    <row r="7" spans="1:2">
      <c r="A7" s="26" t="s">
        <v>46</v>
      </c>
      <c r="B7" s="27">
        <v>15</v>
      </c>
    </row>
    <row r="8" spans="1:2">
      <c r="A8" s="26" t="s">
        <v>47</v>
      </c>
      <c r="B8" s="27">
        <v>3</v>
      </c>
    </row>
    <row r="9" spans="1:2">
      <c r="A9" s="26" t="s">
        <v>48</v>
      </c>
      <c r="B9" s="27">
        <v>15</v>
      </c>
    </row>
    <row r="10" spans="1:2">
      <c r="A10" s="26" t="s">
        <v>51</v>
      </c>
      <c r="B10" s="27">
        <v>2</v>
      </c>
    </row>
    <row r="11" spans="1:2">
      <c r="A11" s="26" t="s">
        <v>52</v>
      </c>
      <c r="B11" s="27">
        <v>41</v>
      </c>
    </row>
    <row r="12" spans="1:2">
      <c r="A12" s="26" t="s">
        <v>53</v>
      </c>
      <c r="B12" s="27">
        <v>14</v>
      </c>
    </row>
    <row r="13" spans="1:2">
      <c r="A13" s="26" t="s">
        <v>54</v>
      </c>
      <c r="B13" s="27">
        <v>9</v>
      </c>
    </row>
    <row r="14" spans="1:2">
      <c r="A14" s="26" t="s">
        <v>55</v>
      </c>
      <c r="B14" s="27">
        <v>49</v>
      </c>
    </row>
    <row r="15" spans="1:2">
      <c r="A15" s="26" t="s">
        <v>57</v>
      </c>
      <c r="B15" s="27">
        <v>2</v>
      </c>
    </row>
    <row r="16" spans="1:2">
      <c r="A16" s="26" t="s">
        <v>58</v>
      </c>
      <c r="B16" s="27">
        <v>26</v>
      </c>
    </row>
    <row r="17" spans="1:2">
      <c r="A17" s="26" t="s">
        <v>59</v>
      </c>
      <c r="B17" s="27">
        <v>5</v>
      </c>
    </row>
    <row r="18" spans="1:2">
      <c r="A18" s="26" t="s">
        <v>62</v>
      </c>
      <c r="B18" s="27">
        <v>11</v>
      </c>
    </row>
    <row r="19" spans="1:2">
      <c r="A19" s="26" t="s">
        <v>63</v>
      </c>
      <c r="B19" s="27">
        <v>52</v>
      </c>
    </row>
    <row r="20" spans="1:2">
      <c r="A20" s="26" t="s">
        <v>66</v>
      </c>
      <c r="B20" s="27">
        <v>37</v>
      </c>
    </row>
    <row r="21" spans="1:2">
      <c r="A21" s="26" t="s">
        <v>67</v>
      </c>
      <c r="B21" s="27">
        <v>32</v>
      </c>
    </row>
    <row r="22" spans="1:2">
      <c r="A22" s="26" t="s">
        <v>69</v>
      </c>
      <c r="B22" s="27">
        <v>28</v>
      </c>
    </row>
    <row r="23" spans="1:2">
      <c r="A23" s="26" t="s">
        <v>70</v>
      </c>
      <c r="B23" s="27">
        <v>26</v>
      </c>
    </row>
    <row r="24" spans="1:2">
      <c r="A24" s="26" t="s">
        <v>71</v>
      </c>
      <c r="B24" s="27">
        <v>13</v>
      </c>
    </row>
    <row r="25" spans="1:2">
      <c r="A25" s="26" t="s">
        <v>72</v>
      </c>
      <c r="B25" s="27">
        <v>2</v>
      </c>
    </row>
    <row r="26" spans="1:2">
      <c r="A26" s="26" t="s">
        <v>73</v>
      </c>
      <c r="B26" s="27">
        <v>2</v>
      </c>
    </row>
    <row r="27" spans="1:2">
      <c r="A27" s="26" t="s">
        <v>74</v>
      </c>
      <c r="B27" s="27">
        <v>2</v>
      </c>
    </row>
    <row r="28" spans="1:2">
      <c r="A28" s="26" t="s">
        <v>75</v>
      </c>
      <c r="B28" s="27">
        <v>9</v>
      </c>
    </row>
    <row r="29" spans="1:2">
      <c r="A29" s="26" t="s">
        <v>76</v>
      </c>
      <c r="B29" s="27">
        <v>11</v>
      </c>
    </row>
    <row r="30" spans="1:2">
      <c r="A30" s="26" t="s">
        <v>77</v>
      </c>
      <c r="B30" s="27">
        <v>14</v>
      </c>
    </row>
    <row r="31" spans="1:2">
      <c r="A31" s="26" t="s">
        <v>79</v>
      </c>
      <c r="B31" s="27">
        <v>5</v>
      </c>
    </row>
    <row r="32" spans="1:2">
      <c r="A32" s="26" t="s">
        <v>80</v>
      </c>
      <c r="B32" s="27">
        <v>12</v>
      </c>
    </row>
    <row r="33" spans="1:2">
      <c r="A33" s="26" t="s">
        <v>81</v>
      </c>
      <c r="B33" s="27">
        <v>2</v>
      </c>
    </row>
    <row r="34" spans="1:2">
      <c r="A34" s="26" t="s">
        <v>82</v>
      </c>
      <c r="B34" s="27">
        <v>3</v>
      </c>
    </row>
    <row r="35" spans="1:2">
      <c r="A35" s="26" t="s">
        <v>83</v>
      </c>
      <c r="B35" s="27">
        <v>2</v>
      </c>
    </row>
    <row r="36" spans="1:2">
      <c r="A36" s="26" t="s">
        <v>84</v>
      </c>
      <c r="B36" s="27">
        <v>1</v>
      </c>
    </row>
    <row r="37" spans="1:2">
      <c r="A37" s="26" t="s">
        <v>85</v>
      </c>
      <c r="B37" s="27">
        <v>2</v>
      </c>
    </row>
    <row r="38" spans="1:2">
      <c r="A38" s="26" t="s">
        <v>86</v>
      </c>
      <c r="B38" s="27">
        <v>3</v>
      </c>
    </row>
    <row r="39" spans="1:2">
      <c r="A39" s="26" t="s">
        <v>87</v>
      </c>
      <c r="B39" s="27">
        <v>2</v>
      </c>
    </row>
    <row r="40" spans="1:2">
      <c r="A40" s="26" t="s">
        <v>88</v>
      </c>
      <c r="B40" s="27">
        <v>2</v>
      </c>
    </row>
    <row r="41" spans="1:2">
      <c r="A41" s="26" t="s">
        <v>90</v>
      </c>
      <c r="B41" s="27">
        <v>3</v>
      </c>
    </row>
    <row r="42" spans="1:2">
      <c r="A42" s="26" t="s">
        <v>91</v>
      </c>
      <c r="B42" s="27">
        <v>2</v>
      </c>
    </row>
    <row r="43" spans="1:2">
      <c r="A43" s="26" t="s">
        <v>92</v>
      </c>
      <c r="B43" s="27">
        <v>1</v>
      </c>
    </row>
    <row r="44" spans="1:2">
      <c r="A44" s="26" t="s">
        <v>94</v>
      </c>
      <c r="B44" s="27">
        <v>2</v>
      </c>
    </row>
    <row r="45" spans="1:2">
      <c r="A45" s="26" t="s">
        <v>95</v>
      </c>
      <c r="B45" s="27">
        <v>4</v>
      </c>
    </row>
    <row r="46" spans="1:2">
      <c r="A46" s="26" t="s">
        <v>96</v>
      </c>
      <c r="B46" s="27">
        <v>3</v>
      </c>
    </row>
    <row r="47" spans="1:2">
      <c r="A47" s="26" t="s">
        <v>97</v>
      </c>
      <c r="B47" s="27">
        <v>15</v>
      </c>
    </row>
    <row r="48" spans="1:2">
      <c r="A48" s="26" t="s">
        <v>98</v>
      </c>
      <c r="B48" s="27">
        <v>4</v>
      </c>
    </row>
    <row r="49" spans="1:2">
      <c r="A49" s="26" t="s">
        <v>100</v>
      </c>
      <c r="B49" s="27">
        <v>2</v>
      </c>
    </row>
    <row r="50" spans="1:2">
      <c r="A50" s="26" t="s">
        <v>101</v>
      </c>
      <c r="B50" s="27">
        <v>2</v>
      </c>
    </row>
    <row r="51" spans="1:2">
      <c r="A51" s="26" t="s">
        <v>102</v>
      </c>
      <c r="B51" s="27">
        <v>2</v>
      </c>
    </row>
    <row r="52" spans="1:2">
      <c r="A52" s="26" t="s">
        <v>103</v>
      </c>
      <c r="B52" s="27">
        <v>3</v>
      </c>
    </row>
    <row r="53" spans="1:2">
      <c r="A53" s="26" t="s">
        <v>104</v>
      </c>
      <c r="B53" s="27">
        <v>8</v>
      </c>
    </row>
    <row r="54" spans="1:2">
      <c r="A54" s="26" t="s">
        <v>105</v>
      </c>
      <c r="B54" s="27">
        <v>5</v>
      </c>
    </row>
    <row r="55" spans="1:2">
      <c r="A55" s="26" t="s">
        <v>106</v>
      </c>
      <c r="B55" s="27">
        <v>9</v>
      </c>
    </row>
    <row r="56" spans="1:2">
      <c r="A56" s="26" t="s">
        <v>108</v>
      </c>
      <c r="B56" s="27">
        <v>6</v>
      </c>
    </row>
    <row r="57" spans="1:2">
      <c r="A57" s="26" t="s">
        <v>109</v>
      </c>
      <c r="B57" s="27">
        <v>14</v>
      </c>
    </row>
    <row r="58" spans="1:2">
      <c r="A58" s="26" t="s">
        <v>111</v>
      </c>
      <c r="B58" s="27">
        <v>9</v>
      </c>
    </row>
    <row r="59" spans="1:2">
      <c r="A59" s="26" t="s">
        <v>114</v>
      </c>
      <c r="B59" s="27">
        <v>9</v>
      </c>
    </row>
    <row r="60" spans="1:2">
      <c r="A60" s="26" t="s">
        <v>115</v>
      </c>
      <c r="B60" s="27">
        <v>3</v>
      </c>
    </row>
    <row r="61" spans="1:2">
      <c r="A61" s="26" t="s">
        <v>116</v>
      </c>
      <c r="B61" s="27">
        <v>8</v>
      </c>
    </row>
    <row r="62" spans="1:2">
      <c r="A62" s="26" t="s">
        <v>117</v>
      </c>
      <c r="B62" s="27">
        <v>6</v>
      </c>
    </row>
    <row r="63" spans="1:2">
      <c r="A63" s="26" t="s">
        <v>118</v>
      </c>
      <c r="B63" s="27">
        <v>8</v>
      </c>
    </row>
    <row r="64" spans="1:2">
      <c r="A64" s="26" t="s">
        <v>119</v>
      </c>
      <c r="B64" s="27">
        <v>17</v>
      </c>
    </row>
    <row r="65" spans="1:2">
      <c r="A65" s="26" t="s">
        <v>120</v>
      </c>
      <c r="B65" s="27">
        <v>7</v>
      </c>
    </row>
    <row r="66" spans="1:2">
      <c r="A66" s="26" t="s">
        <v>121</v>
      </c>
      <c r="B66" s="27">
        <v>13</v>
      </c>
    </row>
    <row r="67" spans="1:2">
      <c r="A67" s="26" t="s">
        <v>122</v>
      </c>
      <c r="B67" s="27">
        <v>14</v>
      </c>
    </row>
    <row r="68" spans="1:2">
      <c r="A68" s="26" t="s">
        <v>124</v>
      </c>
      <c r="B68" s="27">
        <v>4</v>
      </c>
    </row>
    <row r="69" spans="1:2">
      <c r="A69" s="26" t="s">
        <v>126</v>
      </c>
      <c r="B69" s="27">
        <v>12</v>
      </c>
    </row>
    <row r="70" spans="1:2">
      <c r="A70" s="26" t="s">
        <v>129</v>
      </c>
      <c r="B70" s="27">
        <v>7</v>
      </c>
    </row>
    <row r="71" spans="1:2">
      <c r="A71" s="26" t="s">
        <v>130</v>
      </c>
      <c r="B71" s="27">
        <v>2</v>
      </c>
    </row>
    <row r="72" spans="1:2">
      <c r="A72" s="26" t="s">
        <v>131</v>
      </c>
      <c r="B72" s="27">
        <v>4</v>
      </c>
    </row>
    <row r="73" spans="1:2">
      <c r="A73" s="26" t="s">
        <v>132</v>
      </c>
      <c r="B73" s="27">
        <v>6</v>
      </c>
    </row>
    <row r="74" spans="1:2">
      <c r="A74" s="26" t="s">
        <v>134</v>
      </c>
      <c r="B74" s="27">
        <v>10</v>
      </c>
    </row>
    <row r="75" spans="1:2">
      <c r="A75" s="26" t="s">
        <v>135</v>
      </c>
      <c r="B75" s="27">
        <v>2</v>
      </c>
    </row>
    <row r="76" spans="1:2">
      <c r="A76" s="26" t="s">
        <v>136</v>
      </c>
      <c r="B76" s="27">
        <v>1</v>
      </c>
    </row>
    <row r="77" spans="1:2">
      <c r="A77" s="26" t="s">
        <v>137</v>
      </c>
      <c r="B77" s="27">
        <v>4</v>
      </c>
    </row>
    <row r="78" spans="1:2">
      <c r="A78" s="26" t="s">
        <v>139</v>
      </c>
      <c r="B78" s="27">
        <v>3</v>
      </c>
    </row>
    <row r="79" spans="1:2">
      <c r="A79" s="26" t="s">
        <v>140</v>
      </c>
      <c r="B79" s="27">
        <v>12</v>
      </c>
    </row>
    <row r="80" spans="1:2">
      <c r="A80" s="26" t="s">
        <v>142</v>
      </c>
      <c r="B80" s="27">
        <v>20</v>
      </c>
    </row>
    <row r="81" spans="1:2">
      <c r="A81" s="26" t="s">
        <v>143</v>
      </c>
      <c r="B81" s="27">
        <v>50</v>
      </c>
    </row>
    <row r="82" spans="1:2">
      <c r="A82" s="26" t="s">
        <v>144</v>
      </c>
      <c r="B82" s="27">
        <v>1</v>
      </c>
    </row>
    <row r="83" spans="1:2">
      <c r="A83" s="26" t="s">
        <v>145</v>
      </c>
      <c r="B83" s="27">
        <v>29</v>
      </c>
    </row>
    <row r="84" spans="1:2">
      <c r="A84" s="26" t="s">
        <v>147</v>
      </c>
      <c r="B84" s="27">
        <v>25</v>
      </c>
    </row>
    <row r="85" spans="1:2">
      <c r="A85" s="26" t="s">
        <v>148</v>
      </c>
      <c r="B85" s="27">
        <v>23</v>
      </c>
    </row>
    <row r="86" spans="1:2">
      <c r="A86" s="26" t="s">
        <v>149</v>
      </c>
      <c r="B86" s="27">
        <v>10</v>
      </c>
    </row>
    <row r="87" spans="1:2">
      <c r="A87" s="26" t="s">
        <v>150</v>
      </c>
      <c r="B87" s="27">
        <v>6</v>
      </c>
    </row>
    <row r="88" spans="1:2">
      <c r="A88" s="26" t="s">
        <v>151</v>
      </c>
      <c r="B88" s="27">
        <v>3</v>
      </c>
    </row>
    <row r="89" spans="1:2">
      <c r="A89" s="26" t="s">
        <v>170</v>
      </c>
      <c r="B89" s="27">
        <v>1</v>
      </c>
    </row>
    <row r="90" spans="1:2">
      <c r="A90" s="26" t="s">
        <v>152</v>
      </c>
      <c r="B90" s="27">
        <v>10</v>
      </c>
    </row>
    <row r="91" spans="1:2">
      <c r="A91" s="26" t="s">
        <v>155</v>
      </c>
      <c r="B91" s="27">
        <v>7</v>
      </c>
    </row>
    <row r="92" spans="1:2">
      <c r="A92" s="26" t="s">
        <v>156</v>
      </c>
      <c r="B92" s="27">
        <v>3</v>
      </c>
    </row>
    <row r="93" spans="1:2">
      <c r="A93" s="26" t="s">
        <v>157</v>
      </c>
      <c r="B93" s="27">
        <v>4</v>
      </c>
    </row>
    <row r="94" spans="1:2">
      <c r="A94" s="26" t="s">
        <v>158</v>
      </c>
      <c r="B94" s="27">
        <v>8</v>
      </c>
    </row>
    <row r="95" spans="1:2">
      <c r="A95" s="26" t="s">
        <v>159</v>
      </c>
      <c r="B95" s="27">
        <v>10</v>
      </c>
    </row>
    <row r="96" spans="1:2">
      <c r="A96" s="26" t="s">
        <v>161</v>
      </c>
      <c r="B96" s="27">
        <v>7</v>
      </c>
    </row>
    <row r="97" spans="1:2">
      <c r="A97" s="26" t="s">
        <v>162</v>
      </c>
      <c r="B97" s="27">
        <v>1</v>
      </c>
    </row>
    <row r="98" spans="1:2">
      <c r="A98" s="26" t="s">
        <v>164</v>
      </c>
      <c r="B98" s="27">
        <v>4</v>
      </c>
    </row>
    <row r="99" spans="1:2">
      <c r="A99" s="26" t="s">
        <v>166</v>
      </c>
      <c r="B99" s="27">
        <v>9</v>
      </c>
    </row>
    <row r="100" spans="1:2">
      <c r="A100" s="26" t="s">
        <v>167</v>
      </c>
      <c r="B100" s="27">
        <v>5</v>
      </c>
    </row>
    <row r="101" spans="1:2">
      <c r="A101" s="26" t="s">
        <v>168</v>
      </c>
      <c r="B101" s="27">
        <v>7</v>
      </c>
    </row>
    <row r="102" spans="1:2">
      <c r="A102" s="26" t="s">
        <v>169</v>
      </c>
      <c r="B102" s="27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sqref="A1:B1"/>
    </sheetView>
  </sheetViews>
  <sheetFormatPr defaultColWidth="9.5703125" defaultRowHeight="15"/>
  <cols>
    <col min="1" max="1" width="11" style="44" bestFit="1" customWidth="1"/>
    <col min="2" max="2" width="15" style="44" bestFit="1" customWidth="1"/>
    <col min="3" max="3" width="38.85546875" style="62" bestFit="1" customWidth="1"/>
    <col min="4" max="5" width="10.5703125" style="44" customWidth="1"/>
    <col min="6" max="6" width="6.42578125" style="44" bestFit="1" customWidth="1"/>
    <col min="7" max="7" width="8.5703125" style="44" bestFit="1" customWidth="1"/>
    <col min="8" max="8" width="36" style="44" customWidth="1"/>
    <col min="9" max="16384" width="9.5703125" style="44"/>
  </cols>
  <sheetData>
    <row r="2" spans="1:9" ht="45">
      <c r="A2" s="41" t="s">
        <v>204</v>
      </c>
      <c r="B2" s="42" t="s">
        <v>205</v>
      </c>
      <c r="C2" s="43" t="s">
        <v>171</v>
      </c>
      <c r="D2" s="42" t="s">
        <v>206</v>
      </c>
      <c r="E2" s="41" t="s">
        <v>207</v>
      </c>
      <c r="F2" s="42" t="s">
        <v>208</v>
      </c>
      <c r="G2" s="42" t="s">
        <v>19</v>
      </c>
      <c r="H2" s="41" t="s">
        <v>209</v>
      </c>
    </row>
    <row r="3" spans="1:9">
      <c r="A3" s="45" t="s">
        <v>210</v>
      </c>
      <c r="B3" s="45" t="s">
        <v>211</v>
      </c>
      <c r="C3" s="46" t="s">
        <v>49</v>
      </c>
      <c r="D3" s="47">
        <v>48.710388528170043</v>
      </c>
      <c r="E3" s="47">
        <v>48.710388528170043</v>
      </c>
      <c r="F3" s="48">
        <v>1</v>
      </c>
      <c r="G3" s="49">
        <v>10365</v>
      </c>
      <c r="H3" s="50" t="s">
        <v>212</v>
      </c>
    </row>
    <row r="4" spans="1:9">
      <c r="A4" s="51" t="s">
        <v>214</v>
      </c>
      <c r="B4" s="51" t="s">
        <v>215</v>
      </c>
      <c r="C4" s="52" t="s">
        <v>158</v>
      </c>
      <c r="D4" s="53">
        <v>60.703179867342961</v>
      </c>
      <c r="E4" s="53">
        <v>60.703179867342961</v>
      </c>
      <c r="F4" s="54">
        <v>2</v>
      </c>
      <c r="G4" s="55">
        <v>27000</v>
      </c>
      <c r="H4" s="56" t="s">
        <v>212</v>
      </c>
    </row>
    <row r="5" spans="1:9">
      <c r="A5" s="45" t="s">
        <v>214</v>
      </c>
      <c r="B5" s="45" t="s">
        <v>215</v>
      </c>
      <c r="C5" s="46" t="s">
        <v>161</v>
      </c>
      <c r="D5" s="47">
        <v>53.307313421073367</v>
      </c>
      <c r="E5" s="47">
        <v>53.307313421073367</v>
      </c>
      <c r="F5" s="48">
        <v>2</v>
      </c>
      <c r="G5" s="49">
        <v>17005</v>
      </c>
      <c r="H5" s="50" t="s">
        <v>212</v>
      </c>
    </row>
    <row r="6" spans="1:9" ht="28.5">
      <c r="A6" s="51" t="s">
        <v>214</v>
      </c>
      <c r="B6" s="51" t="s">
        <v>211</v>
      </c>
      <c r="C6" s="52" t="s">
        <v>249</v>
      </c>
      <c r="D6" s="53">
        <v>53.560955531894301</v>
      </c>
      <c r="E6" s="53">
        <v>53.560955531894301</v>
      </c>
      <c r="F6" s="54">
        <v>3</v>
      </c>
      <c r="G6" s="55">
        <v>21555</v>
      </c>
      <c r="H6" s="56" t="s">
        <v>212</v>
      </c>
    </row>
    <row r="7" spans="1:9">
      <c r="A7" s="45" t="s">
        <v>216</v>
      </c>
      <c r="B7" s="45" t="s">
        <v>211</v>
      </c>
      <c r="C7" s="46" t="s">
        <v>65</v>
      </c>
      <c r="D7" s="47">
        <v>86.727322828282837</v>
      </c>
      <c r="E7" s="47">
        <v>86.727322828282837</v>
      </c>
      <c r="F7" s="48">
        <v>0.32</v>
      </c>
      <c r="G7" s="49">
        <v>1528</v>
      </c>
      <c r="H7" s="50" t="s">
        <v>212</v>
      </c>
      <c r="I7" s="66" t="s">
        <v>213</v>
      </c>
    </row>
    <row r="8" spans="1:9">
      <c r="A8" s="51" t="s">
        <v>217</v>
      </c>
      <c r="B8" s="51" t="s">
        <v>211</v>
      </c>
      <c r="C8" s="52" t="s">
        <v>40</v>
      </c>
      <c r="D8" s="53">
        <v>59.806442528646045</v>
      </c>
      <c r="E8" s="53">
        <v>59.806442528646045</v>
      </c>
      <c r="F8" s="54">
        <v>6</v>
      </c>
      <c r="G8" s="55">
        <v>10967</v>
      </c>
      <c r="H8" s="56" t="s">
        <v>212</v>
      </c>
      <c r="I8" s="66" t="s">
        <v>213</v>
      </c>
    </row>
    <row r="9" spans="1:9">
      <c r="A9" s="45" t="s">
        <v>217</v>
      </c>
      <c r="B9" s="45" t="s">
        <v>211</v>
      </c>
      <c r="C9" s="46" t="s">
        <v>60</v>
      </c>
      <c r="D9" s="47">
        <v>105.09753872282609</v>
      </c>
      <c r="E9" s="47">
        <v>105.09753872282609</v>
      </c>
      <c r="F9" s="48">
        <v>3</v>
      </c>
      <c r="G9" s="49">
        <v>857</v>
      </c>
      <c r="H9" s="50" t="s">
        <v>212</v>
      </c>
      <c r="I9" s="66" t="s">
        <v>213</v>
      </c>
    </row>
    <row r="10" spans="1:9">
      <c r="A10" s="51" t="s">
        <v>217</v>
      </c>
      <c r="B10" s="51" t="s">
        <v>211</v>
      </c>
      <c r="C10" s="52" t="s">
        <v>65</v>
      </c>
      <c r="D10" s="53">
        <v>86.727322828282837</v>
      </c>
      <c r="E10" s="53">
        <v>86.727322828282837</v>
      </c>
      <c r="F10" s="54">
        <v>6</v>
      </c>
      <c r="G10" s="55">
        <v>6232</v>
      </c>
      <c r="H10" s="56" t="s">
        <v>212</v>
      </c>
      <c r="I10" s="66" t="s">
        <v>213</v>
      </c>
    </row>
    <row r="11" spans="1:9">
      <c r="A11" s="45" t="s">
        <v>217</v>
      </c>
      <c r="B11" s="45" t="s">
        <v>218</v>
      </c>
      <c r="C11" s="46" t="s">
        <v>219</v>
      </c>
      <c r="D11" s="47">
        <v>46.84</v>
      </c>
      <c r="E11" s="47">
        <v>46.84</v>
      </c>
      <c r="F11" s="48">
        <v>22</v>
      </c>
      <c r="G11" s="49">
        <v>65419</v>
      </c>
      <c r="H11" s="50" t="s">
        <v>212</v>
      </c>
      <c r="I11" s="66" t="s">
        <v>213</v>
      </c>
    </row>
    <row r="12" spans="1:9">
      <c r="A12" s="51" t="s">
        <v>217</v>
      </c>
      <c r="B12" s="51" t="s">
        <v>211</v>
      </c>
      <c r="C12" s="52" t="s">
        <v>252</v>
      </c>
      <c r="D12" s="53">
        <v>88.896599128899368</v>
      </c>
      <c r="E12" s="53">
        <v>88.896599128899368</v>
      </c>
      <c r="F12" s="54">
        <v>6</v>
      </c>
      <c r="G12" s="55">
        <v>9510</v>
      </c>
      <c r="H12" s="56" t="s">
        <v>212</v>
      </c>
      <c r="I12" s="66" t="s">
        <v>213</v>
      </c>
    </row>
    <row r="13" spans="1:9" ht="28.5">
      <c r="A13" s="45" t="s">
        <v>220</v>
      </c>
      <c r="B13" s="45" t="s">
        <v>221</v>
      </c>
      <c r="C13" s="46" t="s">
        <v>241</v>
      </c>
      <c r="D13" s="47">
        <v>39.909999999999997</v>
      </c>
      <c r="E13" s="47">
        <v>39.909999999999997</v>
      </c>
      <c r="F13" s="48">
        <v>2</v>
      </c>
      <c r="G13" s="49">
        <v>13381</v>
      </c>
      <c r="H13" s="50" t="s">
        <v>212</v>
      </c>
      <c r="I13" s="66" t="s">
        <v>213</v>
      </c>
    </row>
    <row r="14" spans="1:9">
      <c r="A14" s="51" t="s">
        <v>220</v>
      </c>
      <c r="B14" s="51" t="s">
        <v>221</v>
      </c>
      <c r="C14" s="52" t="s">
        <v>83</v>
      </c>
      <c r="D14" s="53">
        <v>45.85</v>
      </c>
      <c r="E14" s="53">
        <v>45.85</v>
      </c>
      <c r="F14" s="54">
        <v>3</v>
      </c>
      <c r="G14" s="55">
        <v>18966</v>
      </c>
      <c r="H14" s="56" t="s">
        <v>212</v>
      </c>
      <c r="I14" s="66" t="s">
        <v>213</v>
      </c>
    </row>
    <row r="15" spans="1:9">
      <c r="A15" s="45" t="s">
        <v>220</v>
      </c>
      <c r="B15" s="45" t="s">
        <v>221</v>
      </c>
      <c r="C15" s="46" t="s">
        <v>84</v>
      </c>
      <c r="D15" s="47">
        <v>56.78</v>
      </c>
      <c r="E15" s="47">
        <v>56.78</v>
      </c>
      <c r="F15" s="48">
        <v>1</v>
      </c>
      <c r="G15" s="49">
        <v>2746</v>
      </c>
      <c r="H15" s="50" t="s">
        <v>212</v>
      </c>
      <c r="I15" s="66" t="s">
        <v>213</v>
      </c>
    </row>
    <row r="16" spans="1:9" ht="28.5">
      <c r="A16" s="51" t="s">
        <v>220</v>
      </c>
      <c r="B16" s="51" t="s">
        <v>222</v>
      </c>
      <c r="C16" s="52" t="s">
        <v>82</v>
      </c>
      <c r="D16" s="53">
        <v>37.15</v>
      </c>
      <c r="E16" s="53">
        <v>37.15</v>
      </c>
      <c r="F16" s="54">
        <v>3</v>
      </c>
      <c r="G16" s="55">
        <v>26970</v>
      </c>
      <c r="H16" s="56" t="s">
        <v>212</v>
      </c>
      <c r="I16" s="66" t="s">
        <v>213</v>
      </c>
    </row>
    <row r="17" spans="1:9">
      <c r="A17" s="45" t="s">
        <v>223</v>
      </c>
      <c r="B17" s="45" t="s">
        <v>222</v>
      </c>
      <c r="C17" s="46" t="s">
        <v>224</v>
      </c>
      <c r="D17" s="47">
        <v>54.56</v>
      </c>
      <c r="E17" s="47">
        <v>54.56</v>
      </c>
      <c r="F17" s="48">
        <v>1</v>
      </c>
      <c r="G17" s="49">
        <v>4803</v>
      </c>
      <c r="H17" s="50" t="s">
        <v>212</v>
      </c>
      <c r="I17" s="66" t="s">
        <v>213</v>
      </c>
    </row>
    <row r="18" spans="1:9">
      <c r="A18" s="45" t="s">
        <v>225</v>
      </c>
      <c r="B18" s="45" t="s">
        <v>215</v>
      </c>
      <c r="C18" s="46" t="s">
        <v>98</v>
      </c>
      <c r="D18" s="47">
        <v>38.91984010098885</v>
      </c>
      <c r="E18" s="47">
        <v>38.91984010098885</v>
      </c>
      <c r="F18" s="48">
        <v>8</v>
      </c>
      <c r="G18" s="49">
        <v>50222</v>
      </c>
      <c r="H18" s="50" t="s">
        <v>212</v>
      </c>
      <c r="I18" s="66" t="s">
        <v>213</v>
      </c>
    </row>
    <row r="19" spans="1:9">
      <c r="A19" s="51" t="s">
        <v>226</v>
      </c>
      <c r="B19" s="51" t="s">
        <v>211</v>
      </c>
      <c r="C19" s="52" t="s">
        <v>136</v>
      </c>
      <c r="D19" s="53">
        <v>55.03953637030056</v>
      </c>
      <c r="E19" s="53">
        <v>68.799420462875702</v>
      </c>
      <c r="F19" s="54">
        <v>2</v>
      </c>
      <c r="G19" s="55">
        <v>3765</v>
      </c>
      <c r="H19" s="56" t="s">
        <v>212</v>
      </c>
      <c r="I19" s="66" t="s">
        <v>213</v>
      </c>
    </row>
    <row r="20" spans="1:9" ht="28.5">
      <c r="A20" s="45" t="s">
        <v>227</v>
      </c>
      <c r="B20" s="45" t="s">
        <v>211</v>
      </c>
      <c r="C20" s="46" t="s">
        <v>250</v>
      </c>
      <c r="D20" s="47">
        <v>53.881193275130947</v>
      </c>
      <c r="E20" s="47">
        <v>53.881193275130947</v>
      </c>
      <c r="F20" s="48">
        <v>2</v>
      </c>
      <c r="G20" s="49">
        <v>8100</v>
      </c>
      <c r="H20" s="50" t="s">
        <v>212</v>
      </c>
      <c r="I20" s="66" t="s">
        <v>213</v>
      </c>
    </row>
    <row r="21" spans="1:9">
      <c r="A21" s="51" t="s">
        <v>228</v>
      </c>
      <c r="B21" s="51" t="s">
        <v>218</v>
      </c>
      <c r="C21" s="52" t="s">
        <v>112</v>
      </c>
      <c r="D21" s="53">
        <v>64.23</v>
      </c>
      <c r="E21" s="53">
        <v>80.28</v>
      </c>
      <c r="F21" s="54">
        <v>2</v>
      </c>
      <c r="G21" s="55">
        <v>5854</v>
      </c>
      <c r="H21" s="56" t="s">
        <v>212</v>
      </c>
      <c r="I21" s="66" t="s">
        <v>213</v>
      </c>
    </row>
    <row r="22" spans="1:9">
      <c r="A22" s="45" t="s">
        <v>169</v>
      </c>
      <c r="B22" s="45" t="s">
        <v>211</v>
      </c>
      <c r="C22" s="46" t="s">
        <v>139</v>
      </c>
      <c r="D22" s="47">
        <v>57.09803110288739</v>
      </c>
      <c r="E22" s="47">
        <v>71.372538878609234</v>
      </c>
      <c r="F22" s="48">
        <v>3</v>
      </c>
      <c r="G22" s="49">
        <v>13500</v>
      </c>
      <c r="H22" s="50" t="s">
        <v>212</v>
      </c>
      <c r="I22" s="66" t="s">
        <v>213</v>
      </c>
    </row>
    <row r="23" spans="1:9">
      <c r="A23" s="51" t="s">
        <v>228</v>
      </c>
      <c r="B23" s="51" t="s">
        <v>215</v>
      </c>
      <c r="C23" s="52" t="s">
        <v>155</v>
      </c>
      <c r="D23" s="53">
        <v>52.441131237183868</v>
      </c>
      <c r="E23" s="53">
        <v>52.441131237183868</v>
      </c>
      <c r="F23" s="54">
        <v>2</v>
      </c>
      <c r="G23" s="55">
        <v>12257</v>
      </c>
      <c r="H23" s="56" t="s">
        <v>229</v>
      </c>
      <c r="I23" s="66" t="s">
        <v>213</v>
      </c>
    </row>
    <row r="24" spans="1:9">
      <c r="A24" s="45" t="s">
        <v>210</v>
      </c>
      <c r="B24" s="45" t="s">
        <v>215</v>
      </c>
      <c r="C24" s="46" t="s">
        <v>51</v>
      </c>
      <c r="D24" s="47">
        <v>49.78</v>
      </c>
      <c r="E24" s="57">
        <v>49.78</v>
      </c>
      <c r="F24" s="48">
        <v>2.85</v>
      </c>
      <c r="G24" s="49">
        <v>16802</v>
      </c>
      <c r="H24" s="50" t="s">
        <v>231</v>
      </c>
      <c r="I24" s="66" t="s">
        <v>213</v>
      </c>
    </row>
    <row r="25" spans="1:9">
      <c r="A25" s="51" t="s">
        <v>216</v>
      </c>
      <c r="B25" s="51" t="s">
        <v>211</v>
      </c>
      <c r="C25" s="52" t="s">
        <v>57</v>
      </c>
      <c r="D25" s="53">
        <v>43.34</v>
      </c>
      <c r="E25" s="58">
        <v>43.34</v>
      </c>
      <c r="F25" s="54">
        <v>2</v>
      </c>
      <c r="G25" s="55">
        <v>14017</v>
      </c>
      <c r="H25" s="56" t="s">
        <v>231</v>
      </c>
      <c r="I25" s="66" t="s">
        <v>213</v>
      </c>
    </row>
    <row r="26" spans="1:9">
      <c r="A26" s="45" t="s">
        <v>216</v>
      </c>
      <c r="B26" s="45" t="s">
        <v>215</v>
      </c>
      <c r="C26" s="46" t="s">
        <v>251</v>
      </c>
      <c r="D26" s="47">
        <v>50.6</v>
      </c>
      <c r="E26" s="57">
        <v>50.6</v>
      </c>
      <c r="F26" s="48">
        <v>4</v>
      </c>
      <c r="G26" s="49">
        <v>3535</v>
      </c>
      <c r="H26" s="50" t="s">
        <v>231</v>
      </c>
      <c r="I26" s="66" t="s">
        <v>213</v>
      </c>
    </row>
    <row r="27" spans="1:9">
      <c r="A27" s="51" t="s">
        <v>210</v>
      </c>
      <c r="B27" s="51" t="s">
        <v>230</v>
      </c>
      <c r="C27" s="52" t="s">
        <v>115</v>
      </c>
      <c r="D27" s="53">
        <v>81.3</v>
      </c>
      <c r="E27" s="53">
        <v>81.3</v>
      </c>
      <c r="F27" s="54">
        <v>13</v>
      </c>
      <c r="G27" s="55">
        <v>72000</v>
      </c>
      <c r="H27" s="59" t="s">
        <v>233</v>
      </c>
      <c r="I27" s="66" t="s">
        <v>213</v>
      </c>
    </row>
    <row r="28" spans="1:9" ht="30">
      <c r="A28" s="45" t="s">
        <v>232</v>
      </c>
      <c r="B28" s="45" t="s">
        <v>211</v>
      </c>
      <c r="C28" s="46" t="s">
        <v>244</v>
      </c>
      <c r="D28" s="47">
        <v>126.47761629240001</v>
      </c>
      <c r="E28" s="57">
        <v>126.47761629240001</v>
      </c>
      <c r="F28" s="48">
        <v>2</v>
      </c>
      <c r="G28" s="49">
        <v>12686</v>
      </c>
      <c r="H28" s="60" t="s">
        <v>234</v>
      </c>
      <c r="I28" s="66" t="s">
        <v>213</v>
      </c>
    </row>
    <row r="29" spans="1:9">
      <c r="A29" s="51" t="s">
        <v>226</v>
      </c>
      <c r="B29" s="51" t="s">
        <v>211</v>
      </c>
      <c r="C29" s="52" t="s">
        <v>124</v>
      </c>
      <c r="D29" s="53">
        <v>79.879612379935963</v>
      </c>
      <c r="E29" s="53">
        <v>79.879612379935963</v>
      </c>
      <c r="F29" s="54">
        <v>1</v>
      </c>
      <c r="G29" s="55">
        <v>7309</v>
      </c>
      <c r="H29" s="61" t="s">
        <v>235</v>
      </c>
      <c r="I29" s="66" t="s">
        <v>213</v>
      </c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B1"/>
    </sheetView>
  </sheetViews>
  <sheetFormatPr defaultColWidth="8.85546875" defaultRowHeight="15"/>
  <cols>
    <col min="1" max="1" width="44.42578125" style="15" bestFit="1" customWidth="1"/>
    <col min="2" max="2" width="23.85546875" style="15" bestFit="1" customWidth="1"/>
    <col min="3" max="3" width="8.85546875" style="24"/>
    <col min="4" max="16384" width="8.85546875" style="15"/>
  </cols>
  <sheetData>
    <row r="1" spans="1:3">
      <c r="A1" s="15" t="s">
        <v>171</v>
      </c>
      <c r="B1" s="15" t="s">
        <v>172</v>
      </c>
    </row>
    <row r="2" spans="1:3">
      <c r="A2" s="28" t="s">
        <v>40</v>
      </c>
      <c r="B2" s="15" t="s">
        <v>38</v>
      </c>
      <c r="C2" s="24">
        <v>49.2</v>
      </c>
    </row>
    <row r="3" spans="1:3">
      <c r="A3" s="29" t="s">
        <v>41</v>
      </c>
      <c r="B3" s="15" t="s">
        <v>38</v>
      </c>
      <c r="C3" s="24">
        <v>49.099999999999945</v>
      </c>
    </row>
    <row r="4" spans="1:3">
      <c r="A4" s="28" t="s">
        <v>51</v>
      </c>
      <c r="B4" s="15" t="s">
        <v>38</v>
      </c>
      <c r="C4" s="24">
        <v>45.31</v>
      </c>
    </row>
    <row r="5" spans="1:3">
      <c r="A5" s="28" t="s">
        <v>57</v>
      </c>
      <c r="B5" s="15" t="s">
        <v>38</v>
      </c>
      <c r="C5" s="24">
        <v>39.71</v>
      </c>
    </row>
    <row r="6" spans="1:3">
      <c r="A6" s="28" t="s">
        <v>74</v>
      </c>
      <c r="B6" s="15" t="s">
        <v>38</v>
      </c>
      <c r="C6" s="24">
        <v>46.5</v>
      </c>
    </row>
    <row r="7" spans="1:3">
      <c r="A7" s="28" t="s">
        <v>82</v>
      </c>
      <c r="B7" s="15" t="s">
        <v>38</v>
      </c>
      <c r="C7" s="24">
        <v>34.943333333333335</v>
      </c>
    </row>
    <row r="8" spans="1:3">
      <c r="A8" s="28" t="s">
        <v>83</v>
      </c>
      <c r="B8" s="15" t="s">
        <v>38</v>
      </c>
      <c r="C8" s="24">
        <v>43.13</v>
      </c>
    </row>
    <row r="9" spans="1:3">
      <c r="A9" s="28" t="s">
        <v>84</v>
      </c>
      <c r="B9" s="15" t="s">
        <v>38</v>
      </c>
      <c r="C9" s="24">
        <v>32.929999999999993</v>
      </c>
    </row>
    <row r="10" spans="1:3">
      <c r="A10" s="28" t="s">
        <v>85</v>
      </c>
      <c r="B10" s="15" t="s">
        <v>38</v>
      </c>
      <c r="C10" s="24">
        <v>34.47</v>
      </c>
    </row>
    <row r="11" spans="1:3">
      <c r="A11" s="28" t="s">
        <v>92</v>
      </c>
      <c r="B11" s="15" t="s">
        <v>38</v>
      </c>
      <c r="C11" s="24">
        <v>43.580000000000005</v>
      </c>
    </row>
    <row r="12" spans="1:3">
      <c r="A12" s="28" t="s">
        <v>100</v>
      </c>
      <c r="B12" s="15" t="s">
        <v>38</v>
      </c>
      <c r="C12" s="24">
        <v>36.22</v>
      </c>
    </row>
    <row r="13" spans="1:3">
      <c r="A13" s="28" t="s">
        <v>101</v>
      </c>
      <c r="B13" s="15" t="s">
        <v>38</v>
      </c>
      <c r="C13" s="24">
        <v>36.22</v>
      </c>
    </row>
    <row r="14" spans="1:3">
      <c r="A14" s="28" t="s">
        <v>102</v>
      </c>
      <c r="B14" s="15" t="s">
        <v>38</v>
      </c>
      <c r="C14" s="24">
        <v>36.22</v>
      </c>
    </row>
    <row r="15" spans="1:3">
      <c r="A15" s="28" t="s">
        <v>103</v>
      </c>
      <c r="B15" s="15" t="s">
        <v>38</v>
      </c>
      <c r="C15" s="24">
        <v>36.22</v>
      </c>
    </row>
    <row r="16" spans="1:3">
      <c r="A16" s="28" t="s">
        <v>105</v>
      </c>
      <c r="B16" s="15" t="s">
        <v>38</v>
      </c>
      <c r="C16" s="24">
        <v>57.019999999999996</v>
      </c>
    </row>
    <row r="17" spans="1:3">
      <c r="A17" s="29" t="s">
        <v>109</v>
      </c>
      <c r="B17" s="15" t="s">
        <v>38</v>
      </c>
      <c r="C17" s="24">
        <v>49.100000000000016</v>
      </c>
    </row>
    <row r="18" spans="1:3">
      <c r="A18" s="30" t="s">
        <v>173</v>
      </c>
      <c r="B18" s="15" t="s">
        <v>38</v>
      </c>
      <c r="C18" s="24" t="s">
        <v>174</v>
      </c>
    </row>
    <row r="19" spans="1:3">
      <c r="A19" s="28" t="s">
        <v>115</v>
      </c>
      <c r="B19" s="15" t="s">
        <v>38</v>
      </c>
      <c r="C19" s="24">
        <v>58.81</v>
      </c>
    </row>
    <row r="20" spans="1:3">
      <c r="A20" s="28" t="s">
        <v>120</v>
      </c>
      <c r="B20" s="15" t="s">
        <v>38</v>
      </c>
      <c r="C20" s="24">
        <v>34.270000000000003</v>
      </c>
    </row>
    <row r="21" spans="1:3">
      <c r="A21" s="28" t="s">
        <v>124</v>
      </c>
      <c r="B21" s="15" t="s">
        <v>38</v>
      </c>
      <c r="C21" s="24">
        <v>60.76</v>
      </c>
    </row>
    <row r="22" spans="1:3">
      <c r="A22" s="28" t="s">
        <v>136</v>
      </c>
      <c r="B22" s="15" t="s">
        <v>38</v>
      </c>
      <c r="C22" s="24">
        <v>45.59</v>
      </c>
    </row>
    <row r="23" spans="1:3">
      <c r="A23" s="28" t="s">
        <v>139</v>
      </c>
      <c r="B23" s="15" t="s">
        <v>38</v>
      </c>
      <c r="C23" s="24">
        <v>34.27000000000001</v>
      </c>
    </row>
    <row r="24" spans="1:3">
      <c r="A24" s="28" t="s">
        <v>162</v>
      </c>
      <c r="B24" s="15" t="s">
        <v>38</v>
      </c>
      <c r="C24" s="24">
        <v>40.739999999999995</v>
      </c>
    </row>
    <row r="25" spans="1:3">
      <c r="A25" s="28" t="s">
        <v>167</v>
      </c>
      <c r="B25" s="15" t="s">
        <v>38</v>
      </c>
      <c r="C25" s="24">
        <v>40.739999999999995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AF9" sqref="AF9"/>
    </sheetView>
  </sheetViews>
  <sheetFormatPr defaultRowHeight="12.75"/>
  <sheetData>
    <row r="1" spans="1:2">
      <c r="A1" t="s">
        <v>23</v>
      </c>
      <c r="B1" t="s">
        <v>203</v>
      </c>
    </row>
    <row r="2" spans="1:2">
      <c r="A2" t="s">
        <v>40</v>
      </c>
      <c r="B2">
        <v>61.175445623873422</v>
      </c>
    </row>
    <row r="3" spans="1:2">
      <c r="A3" t="s">
        <v>42</v>
      </c>
      <c r="B3">
        <v>83.935873255375341</v>
      </c>
    </row>
    <row r="4" spans="1:2">
      <c r="A4" t="s">
        <v>43</v>
      </c>
      <c r="B4">
        <v>41.775672810587153</v>
      </c>
    </row>
    <row r="5" spans="1:2">
      <c r="A5" t="s">
        <v>44</v>
      </c>
      <c r="B5">
        <v>50.651794413770709</v>
      </c>
    </row>
    <row r="6" spans="1:2">
      <c r="A6" t="s">
        <v>45</v>
      </c>
      <c r="B6">
        <v>45.885778194674934</v>
      </c>
    </row>
    <row r="7" spans="1:2">
      <c r="A7" t="s">
        <v>46</v>
      </c>
      <c r="B7">
        <v>44.944835792479779</v>
      </c>
    </row>
    <row r="8" spans="1:2">
      <c r="A8" t="s">
        <v>47</v>
      </c>
      <c r="B8">
        <v>66.138417130965962</v>
      </c>
    </row>
    <row r="9" spans="1:2">
      <c r="A9" t="s">
        <v>48</v>
      </c>
      <c r="B9">
        <v>49.784257171325187</v>
      </c>
    </row>
    <row r="10" spans="1:2">
      <c r="A10" t="s">
        <v>49</v>
      </c>
      <c r="B10">
        <v>38.91984010098885</v>
      </c>
    </row>
    <row r="11" spans="1:2">
      <c r="A11" t="s">
        <v>51</v>
      </c>
      <c r="B11">
        <v>34.670491191147022</v>
      </c>
    </row>
    <row r="12" spans="1:2">
      <c r="A12" t="s">
        <v>52</v>
      </c>
      <c r="B12">
        <v>35.926824212271974</v>
      </c>
    </row>
    <row r="13" spans="1:2">
      <c r="A13" t="s">
        <v>53</v>
      </c>
      <c r="B13">
        <v>49.463542506855944</v>
      </c>
    </row>
    <row r="14" spans="1:2">
      <c r="A14" t="s">
        <v>54</v>
      </c>
      <c r="B14">
        <v>39.849201806271068</v>
      </c>
    </row>
    <row r="15" spans="1:2">
      <c r="A15" t="s">
        <v>55</v>
      </c>
      <c r="B15">
        <v>42.074456061034191</v>
      </c>
    </row>
    <row r="16" spans="1:2">
      <c r="A16" t="s">
        <v>56</v>
      </c>
      <c r="B16">
        <v>50.603953468031136</v>
      </c>
    </row>
    <row r="17" spans="1:2">
      <c r="A17" t="s">
        <v>57</v>
      </c>
      <c r="B17">
        <v>42.074456061034191</v>
      </c>
    </row>
    <row r="18" spans="1:2">
      <c r="A18" t="s">
        <v>58</v>
      </c>
      <c r="B18">
        <v>45.092433039895113</v>
      </c>
    </row>
    <row r="19" spans="1:2">
      <c r="A19" t="s">
        <v>59</v>
      </c>
      <c r="B19">
        <v>71.054285372276752</v>
      </c>
    </row>
    <row r="20" spans="1:2">
      <c r="A20" t="s">
        <v>60</v>
      </c>
      <c r="B20">
        <v>0</v>
      </c>
    </row>
    <row r="21" spans="1:2">
      <c r="A21" t="s">
        <v>62</v>
      </c>
      <c r="B21">
        <v>46.143169133705413</v>
      </c>
    </row>
    <row r="22" spans="1:2">
      <c r="A22" t="s">
        <v>63</v>
      </c>
      <c r="B22">
        <v>58.929033100476595</v>
      </c>
    </row>
    <row r="23" spans="1:2">
      <c r="A23" t="s">
        <v>64</v>
      </c>
      <c r="B23">
        <v>52.671633438265133</v>
      </c>
    </row>
    <row r="24" spans="1:2">
      <c r="A24" t="s">
        <v>65</v>
      </c>
      <c r="B24">
        <v>73.065895810021132</v>
      </c>
    </row>
    <row r="25" spans="1:2">
      <c r="A25" t="s">
        <v>240</v>
      </c>
      <c r="B25">
        <v>71.271864808775575</v>
      </c>
    </row>
    <row r="26" spans="1:2">
      <c r="A26" t="s">
        <v>66</v>
      </c>
      <c r="B26">
        <v>61.766183396435501</v>
      </c>
    </row>
    <row r="27" spans="1:2">
      <c r="A27" t="s">
        <v>67</v>
      </c>
      <c r="B27">
        <v>52.612781954887218</v>
      </c>
    </row>
    <row r="28" spans="1:2">
      <c r="A28" t="s">
        <v>68</v>
      </c>
      <c r="B28">
        <v>46.74619848674061</v>
      </c>
    </row>
    <row r="29" spans="1:2">
      <c r="A29" t="s">
        <v>69</v>
      </c>
      <c r="B29">
        <v>52.351845854922281</v>
      </c>
    </row>
    <row r="30" spans="1:2">
      <c r="A30" t="s">
        <v>70</v>
      </c>
      <c r="B30">
        <v>35.664656890296868</v>
      </c>
    </row>
    <row r="31" spans="1:2">
      <c r="A31" t="s">
        <v>71</v>
      </c>
      <c r="B31">
        <v>55.042945283325217</v>
      </c>
    </row>
    <row r="32" spans="1:2">
      <c r="A32" t="s">
        <v>72</v>
      </c>
      <c r="B32">
        <v>32.704175578908213</v>
      </c>
    </row>
    <row r="33" spans="1:2">
      <c r="A33" t="s">
        <v>73</v>
      </c>
      <c r="B33">
        <v>53.734553592838303</v>
      </c>
    </row>
    <row r="34" spans="1:2">
      <c r="A34" t="s">
        <v>74</v>
      </c>
      <c r="B34">
        <v>63.678999721111836</v>
      </c>
    </row>
    <row r="35" spans="1:2">
      <c r="A35" t="s">
        <v>75</v>
      </c>
      <c r="B35">
        <v>60.008860435339315</v>
      </c>
    </row>
    <row r="36" spans="1:2">
      <c r="A36" t="s">
        <v>76</v>
      </c>
      <c r="B36">
        <v>53.399756202495333</v>
      </c>
    </row>
    <row r="37" spans="1:2">
      <c r="A37" t="s">
        <v>77</v>
      </c>
      <c r="B37">
        <v>47.307374703621939</v>
      </c>
    </row>
    <row r="38" spans="1:2">
      <c r="A38" t="s">
        <v>78</v>
      </c>
      <c r="B38">
        <v>69.009811645061959</v>
      </c>
    </row>
    <row r="39" spans="1:2">
      <c r="A39" t="s">
        <v>79</v>
      </c>
      <c r="B39">
        <v>53.45083754015603</v>
      </c>
    </row>
    <row r="40" spans="1:2">
      <c r="A40" t="s">
        <v>80</v>
      </c>
      <c r="B40">
        <v>38.635642517186675</v>
      </c>
    </row>
    <row r="41" spans="1:2">
      <c r="A41" t="s">
        <v>81</v>
      </c>
      <c r="B41">
        <v>37.146665473900789</v>
      </c>
    </row>
    <row r="42" spans="1:2">
      <c r="A42" t="s">
        <v>82</v>
      </c>
      <c r="B42">
        <v>37.146665473900789</v>
      </c>
    </row>
    <row r="43" spans="1:2">
      <c r="A43" t="s">
        <v>83</v>
      </c>
      <c r="B43">
        <v>37.146665473900789</v>
      </c>
    </row>
    <row r="44" spans="1:2">
      <c r="A44" t="s">
        <v>84</v>
      </c>
      <c r="B44">
        <v>37.146665473900789</v>
      </c>
    </row>
    <row r="45" spans="1:2">
      <c r="A45" t="s">
        <v>241</v>
      </c>
      <c r="B45">
        <v>37.146665473900789</v>
      </c>
    </row>
    <row r="46" spans="1:2">
      <c r="A46" t="s">
        <v>86</v>
      </c>
      <c r="B46">
        <v>38.66003741262184</v>
      </c>
    </row>
    <row r="47" spans="1:2">
      <c r="A47" t="s">
        <v>87</v>
      </c>
      <c r="B47">
        <v>41.946101180903369</v>
      </c>
    </row>
    <row r="48" spans="1:2">
      <c r="A48" t="s">
        <v>88</v>
      </c>
      <c r="B48">
        <v>49.284279077155226</v>
      </c>
    </row>
    <row r="49" spans="1:2">
      <c r="A49" t="s">
        <v>89</v>
      </c>
      <c r="B49">
        <v>54.55650813091107</v>
      </c>
    </row>
    <row r="50" spans="1:2">
      <c r="A50" t="s">
        <v>90</v>
      </c>
      <c r="B50">
        <v>53.568590382566256</v>
      </c>
    </row>
    <row r="51" spans="1:2">
      <c r="A51" t="s">
        <v>91</v>
      </c>
      <c r="B51">
        <v>48.437622652088592</v>
      </c>
    </row>
    <row r="52" spans="1:2">
      <c r="A52" t="s">
        <v>92</v>
      </c>
      <c r="B52">
        <v>54.55650813091107</v>
      </c>
    </row>
    <row r="53" spans="1:2">
      <c r="A53" t="s">
        <v>93</v>
      </c>
      <c r="B53">
        <v>54.55650813091107</v>
      </c>
    </row>
    <row r="54" spans="1:2">
      <c r="A54" t="s">
        <v>94</v>
      </c>
      <c r="B54">
        <v>56.928471948495599</v>
      </c>
    </row>
    <row r="55" spans="1:2">
      <c r="A55" t="s">
        <v>95</v>
      </c>
      <c r="B55">
        <v>60.106497218788626</v>
      </c>
    </row>
    <row r="56" spans="1:2">
      <c r="A56" t="s">
        <v>96</v>
      </c>
      <c r="B56">
        <v>61.224272663902859</v>
      </c>
    </row>
    <row r="57" spans="1:2">
      <c r="A57" t="s">
        <v>97</v>
      </c>
      <c r="B57">
        <v>49.412072346916538</v>
      </c>
    </row>
    <row r="58" spans="1:2">
      <c r="A58" t="s">
        <v>242</v>
      </c>
      <c r="B58">
        <v>119.01598245064243</v>
      </c>
    </row>
    <row r="59" spans="1:2">
      <c r="A59" t="s">
        <v>98</v>
      </c>
      <c r="B59">
        <v>38.91984010098885</v>
      </c>
    </row>
    <row r="60" spans="1:2">
      <c r="A60" t="s">
        <v>99</v>
      </c>
      <c r="B60">
        <v>46.890722591783884</v>
      </c>
    </row>
    <row r="61" spans="1:2">
      <c r="A61" t="s">
        <v>100</v>
      </c>
      <c r="B61">
        <v>38.91984010098885</v>
      </c>
    </row>
    <row r="62" spans="1:2">
      <c r="A62" t="s">
        <v>101</v>
      </c>
      <c r="B62">
        <v>38.91984010098885</v>
      </c>
    </row>
    <row r="63" spans="1:2">
      <c r="A63" t="s">
        <v>102</v>
      </c>
      <c r="B63">
        <v>38.91984010098885</v>
      </c>
    </row>
    <row r="64" spans="1:2">
      <c r="A64" t="s">
        <v>103</v>
      </c>
      <c r="B64">
        <v>38.91984010098885</v>
      </c>
    </row>
    <row r="65" spans="1:2">
      <c r="A65" t="s">
        <v>104</v>
      </c>
      <c r="B65">
        <v>62.10655153996796</v>
      </c>
    </row>
    <row r="66" spans="1:2">
      <c r="A66" t="s">
        <v>105</v>
      </c>
      <c r="B66">
        <v>38.91984010098885</v>
      </c>
    </row>
    <row r="67" spans="1:2">
      <c r="A67" t="s">
        <v>243</v>
      </c>
      <c r="B67">
        <v>62.10655153996796</v>
      </c>
    </row>
    <row r="68" spans="1:2">
      <c r="A68" t="s">
        <v>106</v>
      </c>
      <c r="B68">
        <v>25.756625246310371</v>
      </c>
    </row>
    <row r="69" spans="1:2">
      <c r="A69" t="s">
        <v>107</v>
      </c>
      <c r="B69">
        <v>72.475013220518235</v>
      </c>
    </row>
    <row r="70" spans="1:2">
      <c r="A70" t="s">
        <v>108</v>
      </c>
      <c r="B70">
        <v>67.160731021555762</v>
      </c>
    </row>
    <row r="71" spans="1:2">
      <c r="A71" t="s">
        <v>110</v>
      </c>
      <c r="B71">
        <v>46.947245228664023</v>
      </c>
    </row>
    <row r="72" spans="1:2">
      <c r="A72" t="s">
        <v>111</v>
      </c>
      <c r="B72">
        <v>69.116073339516305</v>
      </c>
    </row>
    <row r="73" spans="1:2">
      <c r="A73" t="s">
        <v>112</v>
      </c>
      <c r="B73">
        <v>94.906112982143981</v>
      </c>
    </row>
    <row r="74" spans="1:2">
      <c r="A74" t="s">
        <v>113</v>
      </c>
      <c r="B74">
        <v>82.628761003810283</v>
      </c>
    </row>
    <row r="75" spans="1:2">
      <c r="A75" t="s">
        <v>114</v>
      </c>
      <c r="B75">
        <v>51.564436183395294</v>
      </c>
    </row>
    <row r="76" spans="1:2">
      <c r="A76" t="s">
        <v>115</v>
      </c>
      <c r="B76">
        <v>62.230321464156482</v>
      </c>
    </row>
    <row r="77" spans="1:2">
      <c r="A77" t="s">
        <v>116</v>
      </c>
      <c r="B77">
        <v>49.599237673010379</v>
      </c>
    </row>
    <row r="78" spans="1:2">
      <c r="A78" t="s">
        <v>117</v>
      </c>
      <c r="B78">
        <v>68.202964710709892</v>
      </c>
    </row>
    <row r="79" spans="1:2">
      <c r="A79" t="s">
        <v>118</v>
      </c>
      <c r="B79">
        <v>67.597048119692687</v>
      </c>
    </row>
    <row r="80" spans="1:2">
      <c r="A80" t="s">
        <v>119</v>
      </c>
      <c r="B80">
        <v>46.947245228664023</v>
      </c>
    </row>
    <row r="81" spans="1:2">
      <c r="A81" t="s">
        <v>120</v>
      </c>
      <c r="B81">
        <v>104.22491105840498</v>
      </c>
    </row>
    <row r="82" spans="1:2">
      <c r="A82" t="s">
        <v>121</v>
      </c>
      <c r="B82">
        <v>68.820683824910773</v>
      </c>
    </row>
    <row r="83" spans="1:2">
      <c r="A83" t="s">
        <v>122</v>
      </c>
      <c r="B83">
        <v>81.110286412853654</v>
      </c>
    </row>
    <row r="84" spans="1:2">
      <c r="A84" t="s">
        <v>123</v>
      </c>
      <c r="B84">
        <v>46.947245228664023</v>
      </c>
    </row>
    <row r="85" spans="1:2">
      <c r="A85" t="s">
        <v>124</v>
      </c>
      <c r="B85">
        <v>92.021258028483658</v>
      </c>
    </row>
    <row r="86" spans="1:2">
      <c r="A86" t="s">
        <v>125</v>
      </c>
      <c r="B86">
        <v>46.947245228664023</v>
      </c>
    </row>
    <row r="87" spans="1:2">
      <c r="A87" t="s">
        <v>126</v>
      </c>
      <c r="B87">
        <v>29.213066551921976</v>
      </c>
    </row>
    <row r="88" spans="1:2">
      <c r="A88" t="s">
        <v>127</v>
      </c>
      <c r="B88">
        <v>70.039845819144915</v>
      </c>
    </row>
    <row r="89" spans="1:2">
      <c r="A89" t="s">
        <v>244</v>
      </c>
      <c r="B89">
        <v>75.878974834178706</v>
      </c>
    </row>
    <row r="90" spans="1:2">
      <c r="A90" t="s">
        <v>129</v>
      </c>
      <c r="B90">
        <v>72.801278012780131</v>
      </c>
    </row>
    <row r="91" spans="1:2">
      <c r="A91" t="s">
        <v>130</v>
      </c>
      <c r="B91">
        <v>51.439664714292299</v>
      </c>
    </row>
    <row r="92" spans="1:2">
      <c r="A92" t="s">
        <v>131</v>
      </c>
      <c r="B92">
        <v>83.592336316762328</v>
      </c>
    </row>
    <row r="93" spans="1:2">
      <c r="A93" t="s">
        <v>132</v>
      </c>
      <c r="B93">
        <v>65.676715493940179</v>
      </c>
    </row>
    <row r="94" spans="1:2">
      <c r="A94" t="s">
        <v>245</v>
      </c>
      <c r="B94">
        <v>66.634141776341707</v>
      </c>
    </row>
    <row r="95" spans="1:2">
      <c r="A95" t="s">
        <v>134</v>
      </c>
      <c r="B95">
        <v>65.19260761072988</v>
      </c>
    </row>
    <row r="96" spans="1:2">
      <c r="A96" t="s">
        <v>135</v>
      </c>
      <c r="B96">
        <v>81.71811432058584</v>
      </c>
    </row>
    <row r="97" spans="1:2">
      <c r="A97" t="s">
        <v>136</v>
      </c>
      <c r="B97">
        <v>73.65379553590229</v>
      </c>
    </row>
    <row r="98" spans="1:2">
      <c r="A98" t="s">
        <v>137</v>
      </c>
      <c r="B98">
        <v>92.803533141736239</v>
      </c>
    </row>
    <row r="99" spans="1:2">
      <c r="A99" t="s">
        <v>138</v>
      </c>
      <c r="B99">
        <v>60.904965296316071</v>
      </c>
    </row>
    <row r="100" spans="1:2">
      <c r="A100" t="s">
        <v>139</v>
      </c>
      <c r="B100">
        <v>69.200501539998328</v>
      </c>
    </row>
    <row r="101" spans="1:2">
      <c r="A101" t="s">
        <v>140</v>
      </c>
      <c r="B101">
        <v>45.677541186429643</v>
      </c>
    </row>
    <row r="102" spans="1:2">
      <c r="A102" t="s">
        <v>246</v>
      </c>
      <c r="B102">
        <v>63.463013698630142</v>
      </c>
    </row>
    <row r="103" spans="1:2">
      <c r="A103" t="s">
        <v>142</v>
      </c>
      <c r="B103">
        <v>91.185267321985151</v>
      </c>
    </row>
    <row r="104" spans="1:2">
      <c r="A104" t="s">
        <v>143</v>
      </c>
      <c r="B104">
        <v>63.463013698630142</v>
      </c>
    </row>
    <row r="105" spans="1:2">
      <c r="A105" t="s">
        <v>247</v>
      </c>
      <c r="B105">
        <v>63.463013698630142</v>
      </c>
    </row>
    <row r="106" spans="1:2">
      <c r="A106" t="s">
        <v>144</v>
      </c>
      <c r="B106">
        <v>40.035332668471291</v>
      </c>
    </row>
    <row r="107" spans="1:2">
      <c r="A107" t="s">
        <v>145</v>
      </c>
      <c r="B107">
        <v>39.435405141555485</v>
      </c>
    </row>
    <row r="108" spans="1:2">
      <c r="A108" t="s">
        <v>146</v>
      </c>
      <c r="B108">
        <v>38.893576766625678</v>
      </c>
    </row>
    <row r="109" spans="1:2">
      <c r="A109" t="s">
        <v>147</v>
      </c>
      <c r="B109">
        <v>45.543016677687163</v>
      </c>
    </row>
    <row r="110" spans="1:2">
      <c r="A110" t="s">
        <v>148</v>
      </c>
      <c r="B110">
        <v>47.727690040008426</v>
      </c>
    </row>
    <row r="111" spans="1:2">
      <c r="A111" t="s">
        <v>149</v>
      </c>
      <c r="B111">
        <v>56.447132457386367</v>
      </c>
    </row>
    <row r="112" spans="1:2">
      <c r="A112" t="s">
        <v>150</v>
      </c>
      <c r="B112">
        <v>33.775569572856362</v>
      </c>
    </row>
    <row r="113" spans="1:2">
      <c r="A113" t="s">
        <v>151</v>
      </c>
      <c r="B113">
        <v>60.614248844607161</v>
      </c>
    </row>
    <row r="114" spans="1:2">
      <c r="A114" t="s">
        <v>152</v>
      </c>
      <c r="B114">
        <v>46.786173505833794</v>
      </c>
    </row>
    <row r="115" spans="1:2">
      <c r="A115" t="s">
        <v>153</v>
      </c>
      <c r="B115">
        <v>51.945465323058684</v>
      </c>
    </row>
    <row r="116" spans="1:2">
      <c r="A116" t="s">
        <v>248</v>
      </c>
      <c r="B116">
        <v>0</v>
      </c>
    </row>
    <row r="117" spans="1:2">
      <c r="A117" t="s">
        <v>154</v>
      </c>
      <c r="B117">
        <v>56.95027771843624</v>
      </c>
    </row>
    <row r="118" spans="1:2">
      <c r="A118" t="s">
        <v>155</v>
      </c>
      <c r="B118">
        <v>52.441131237183868</v>
      </c>
    </row>
    <row r="119" spans="1:2">
      <c r="A119" t="s">
        <v>156</v>
      </c>
      <c r="B119">
        <v>46.536889897843359</v>
      </c>
    </row>
    <row r="120" spans="1:2">
      <c r="A120" t="s">
        <v>157</v>
      </c>
      <c r="B120">
        <v>48.670002793036033</v>
      </c>
    </row>
    <row r="121" spans="1:2">
      <c r="A121" t="s">
        <v>158</v>
      </c>
      <c r="B121">
        <v>60.703179867342961</v>
      </c>
    </row>
    <row r="122" spans="1:2">
      <c r="A122" t="s">
        <v>159</v>
      </c>
      <c r="B122">
        <v>50.065328206045429</v>
      </c>
    </row>
    <row r="123" spans="1:2">
      <c r="A123" t="s">
        <v>160</v>
      </c>
      <c r="B123">
        <v>48.670002793036033</v>
      </c>
    </row>
    <row r="124" spans="1:2">
      <c r="A124" t="s">
        <v>161</v>
      </c>
      <c r="B124">
        <v>53.307313421073367</v>
      </c>
    </row>
    <row r="125" spans="1:2">
      <c r="A125" t="s">
        <v>162</v>
      </c>
      <c r="B125">
        <v>53.307313421073367</v>
      </c>
    </row>
    <row r="126" spans="1:2">
      <c r="A126" t="s">
        <v>163</v>
      </c>
      <c r="B126">
        <v>51.095112560269179</v>
      </c>
    </row>
    <row r="127" spans="1:2">
      <c r="A127" t="s">
        <v>164</v>
      </c>
      <c r="B127">
        <v>67.922640961054057</v>
      </c>
    </row>
    <row r="128" spans="1:2">
      <c r="A128" t="s">
        <v>165</v>
      </c>
      <c r="B128">
        <v>48.670002793036033</v>
      </c>
    </row>
    <row r="129" spans="1:2">
      <c r="A129" t="s">
        <v>166</v>
      </c>
      <c r="B129">
        <v>45.02076712733723</v>
      </c>
    </row>
    <row r="130" spans="1:2">
      <c r="A130" t="s">
        <v>167</v>
      </c>
      <c r="B130">
        <v>48.670002793036033</v>
      </c>
    </row>
    <row r="131" spans="1:2">
      <c r="A131" t="s">
        <v>168</v>
      </c>
      <c r="B131">
        <v>46.951634723788047</v>
      </c>
    </row>
    <row r="132" spans="1:2">
      <c r="A132" t="s">
        <v>169</v>
      </c>
      <c r="B132">
        <v>44.359220005280434</v>
      </c>
    </row>
    <row r="133" spans="1:2">
      <c r="A133" t="s">
        <v>41</v>
      </c>
      <c r="B133">
        <v>64.900000000000006</v>
      </c>
    </row>
    <row r="134" spans="1:2">
      <c r="A134" t="s">
        <v>109</v>
      </c>
      <c r="B134">
        <v>81.125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98B2C61F4CAA429E24FA24580B6C6D" ma:contentTypeVersion="11" ma:contentTypeDescription="Create a new document." ma:contentTypeScope="" ma:versionID="048250de8704ed5482e4ecc692be41fc">
  <xsd:schema xmlns:xsd="http://www.w3.org/2001/XMLSchema" xmlns:xs="http://www.w3.org/2001/XMLSchema" xmlns:p="http://schemas.microsoft.com/office/2006/metadata/properties" xmlns:ns3="1ec8c5ab-6ea7-455a-99bb-bad7068bcc06" xmlns:ns4="ab2d28dd-6b2b-4726-b2c2-edc4d3419a58" targetNamespace="http://schemas.microsoft.com/office/2006/metadata/properties" ma:root="true" ma:fieldsID="4b0ba30428bf620d93fd5dbb44957150" ns3:_="" ns4:_="">
    <xsd:import namespace="1ec8c5ab-6ea7-455a-99bb-bad7068bcc06"/>
    <xsd:import namespace="ab2d28dd-6b2b-4726-b2c2-edc4d3419a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8c5ab-6ea7-455a-99bb-bad7068bc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d28dd-6b2b-4726-b2c2-edc4d3419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A791E-85DE-41B1-955C-D0E4865C8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A96337-C906-4C4F-93D4-4F7967753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c8c5ab-6ea7-455a-99bb-bad7068bcc06"/>
    <ds:schemaRef ds:uri="ab2d28dd-6b2b-4726-b2c2-edc4d3419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830BE9-93F6-43E9-A4CC-45FE674C1349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b2d28dd-6b2b-4726-b2c2-edc4d3419a58"/>
    <ds:schemaRef ds:uri="1ec8c5ab-6ea7-455a-99bb-bad7068bcc0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Proforma</vt:lpstr>
      <vt:lpstr>FY21 Rates</vt:lpstr>
      <vt:lpstr>Lists</vt:lpstr>
      <vt:lpstr>Specialty</vt:lpstr>
      <vt:lpstr>Count of Providers as of Jan 18</vt:lpstr>
      <vt:lpstr>FY21 wRVU Changes</vt:lpstr>
      <vt:lpstr>Low N 2018</vt:lpstr>
      <vt:lpstr>Specialty Lookup</vt:lpstr>
      <vt:lpstr>FUNDTYPE</vt:lpstr>
      <vt:lpstr>Proforma!Print_Area</vt:lpstr>
    </vt:vector>
  </TitlesOfParts>
  <Company>PRMO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orang001</dc:creator>
  <cp:lastModifiedBy>Brady, Spencer</cp:lastModifiedBy>
  <cp:lastPrinted>2016-06-02T19:28:47Z</cp:lastPrinted>
  <dcterms:created xsi:type="dcterms:W3CDTF">2005-01-14T13:46:04Z</dcterms:created>
  <dcterms:modified xsi:type="dcterms:W3CDTF">2021-06-04T15:41:39Z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0x0101008F98B2C61F4CAA429E24FA24580B6C6D</vt:lpwstr>
  </property>
</Properties>
</file>