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hared\Spencer\FY22 Budget\"/>
    </mc:Choice>
  </mc:AlternateContent>
  <bookViews>
    <workbookView xWindow="0" yWindow="0" windowWidth="28800" windowHeight="12000"/>
  </bookViews>
  <sheets>
    <sheet name="Questions" sheetId="20" r:id="rId1"/>
    <sheet name="Proforma" sheetId="16" r:id="rId2"/>
    <sheet name="FY23 Rates" sheetId="19" state="hidden" r:id="rId3"/>
    <sheet name="Lists" sheetId="6" state="hidden" r:id="rId4"/>
    <sheet name="Specialty" sheetId="13" state="hidden" r:id="rId5"/>
    <sheet name="Count of Providers as of Jan 18" sheetId="14" state="hidden" r:id="rId6"/>
    <sheet name="FY21 wRVU Changes" sheetId="18" state="hidden" r:id="rId7"/>
    <sheet name="Low N 2018" sheetId="15" state="hidden" r:id="rId8"/>
    <sheet name="Specialty Lookup" sheetId="17" state="hidden" r:id="rId9"/>
  </sheets>
  <externalReferences>
    <externalReference r:id="rId10"/>
    <externalReference r:id="rId11"/>
    <externalReference r:id="rId12"/>
  </externalReferences>
  <definedNames>
    <definedName name="_xlnm._FilterDatabase" localSheetId="6" hidden="1">'FY21 wRVU Changes'!$A$2:$H$29</definedName>
    <definedName name="_xlnm._FilterDatabase" localSheetId="2" hidden="1">'FY23 Rates'!$A$4:$O$151</definedName>
    <definedName name="_xlnm._FilterDatabase" localSheetId="3" hidden="1">Lists!$G$3:$H$3</definedName>
    <definedName name="_xlnm._FilterDatabase" localSheetId="4" hidden="1">Specialty!$A$1:$W$140</definedName>
    <definedName name="FUNDTYPE" localSheetId="2">[1]Lists!$A$2:$A$12</definedName>
    <definedName name="FUNDTYPE">Lists!$A$2:$A$12</definedName>
    <definedName name="_xlnm.Print_Area" localSheetId="1">Proforma!$A$1:$N$84</definedName>
    <definedName name="_xlnm.Print_Titles" localSheetId="1">Proforma!$41:$41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9" l="1"/>
  <c r="B75" i="19"/>
  <c r="B29" i="19" l="1"/>
  <c r="B72" i="19"/>
  <c r="B125" i="19"/>
  <c r="B20" i="19"/>
  <c r="B63" i="19"/>
  <c r="B18" i="19"/>
  <c r="B82" i="19"/>
  <c r="B137" i="19"/>
  <c r="B121" i="19"/>
  <c r="B40" i="19"/>
  <c r="B79" i="19"/>
  <c r="B38" i="19"/>
  <c r="B42" i="19" l="1"/>
  <c r="B22" i="19"/>
  <c r="B106" i="19"/>
  <c r="B13" i="19"/>
  <c r="B45" i="19"/>
  <c r="B103" i="19"/>
  <c r="B30" i="19"/>
  <c r="B44" i="19"/>
  <c r="B36" i="19"/>
  <c r="B32" i="19"/>
  <c r="B10" i="19"/>
  <c r="B83" i="19"/>
  <c r="B91" i="19"/>
  <c r="B132" i="19"/>
  <c r="B96" i="19"/>
  <c r="B16" i="19"/>
  <c r="B35" i="19"/>
  <c r="B127" i="19"/>
  <c r="B85" i="19"/>
  <c r="B133" i="19"/>
  <c r="B143" i="19"/>
  <c r="B134" i="19"/>
  <c r="B108" i="19"/>
  <c r="B7" i="19"/>
  <c r="B81" i="19"/>
  <c r="B111" i="19"/>
  <c r="B50" i="19"/>
  <c r="B64" i="19"/>
  <c r="B107" i="19"/>
  <c r="B62" i="19"/>
  <c r="B102" i="19"/>
  <c r="B46" i="19"/>
  <c r="B116" i="19"/>
  <c r="B144" i="19"/>
  <c r="B78" i="19"/>
  <c r="B15" i="19"/>
  <c r="B11" i="19"/>
  <c r="B93" i="19"/>
  <c r="B142" i="19"/>
  <c r="B61" i="19"/>
  <c r="B47" i="19"/>
  <c r="B41" i="19"/>
  <c r="B31" i="19"/>
  <c r="B101" i="19"/>
  <c r="B37" i="19"/>
  <c r="B9" i="19"/>
  <c r="B95" i="19"/>
  <c r="B87" i="19"/>
  <c r="B39" i="19"/>
  <c r="B126" i="19"/>
  <c r="B97" i="19"/>
  <c r="B73" i="19"/>
  <c r="B138" i="19"/>
  <c r="B84" i="19"/>
  <c r="B25" i="19"/>
  <c r="B128" i="19"/>
  <c r="B113" i="19"/>
  <c r="B26" i="19"/>
  <c r="B19" i="19"/>
  <c r="B52" i="19"/>
  <c r="B48" i="19"/>
  <c r="B34" i="19"/>
  <c r="B24" i="19"/>
  <c r="B117" i="19"/>
  <c r="B49" i="19"/>
  <c r="B135" i="19"/>
  <c r="B88" i="19"/>
  <c r="B51" i="19"/>
  <c r="B123" i="19"/>
  <c r="B98" i="19"/>
  <c r="B99" i="19"/>
  <c r="B70" i="19"/>
  <c r="B94" i="19"/>
  <c r="B21" i="19"/>
  <c r="B59" i="19"/>
  <c r="B23" i="19"/>
  <c r="B118" i="19"/>
  <c r="B8" i="19"/>
  <c r="B89" i="19"/>
  <c r="B57" i="19"/>
  <c r="B122" i="19"/>
  <c r="B115" i="19"/>
  <c r="B33" i="19"/>
  <c r="B90" i="19"/>
  <c r="B104" i="19"/>
  <c r="B58" i="19"/>
  <c r="B92" i="19"/>
  <c r="B28" i="19"/>
  <c r="B54" i="19"/>
  <c r="B27" i="19"/>
  <c r="B76" i="19"/>
  <c r="B12" i="19"/>
  <c r="B60" i="19"/>
  <c r="B86" i="19"/>
  <c r="B56" i="19"/>
  <c r="B17" i="19"/>
  <c r="B131" i="19"/>
  <c r="B119" i="19"/>
  <c r="B145" i="19"/>
  <c r="B65" i="19"/>
  <c r="B100" i="19"/>
  <c r="B124" i="19"/>
  <c r="B71" i="19"/>
  <c r="B55" i="19"/>
  <c r="B53" i="19"/>
  <c r="B120" i="19"/>
  <c r="B105" i="19"/>
  <c r="B146" i="19"/>
  <c r="B77" i="19"/>
  <c r="B136" i="19"/>
  <c r="B74" i="19"/>
  <c r="B43" i="19"/>
  <c r="B80" i="19"/>
  <c r="B139" i="19"/>
  <c r="B140" i="19"/>
  <c r="B112" i="19"/>
  <c r="B114" i="19"/>
  <c r="B109" i="19"/>
  <c r="B110" i="19"/>
  <c r="B67" i="19"/>
  <c r="B68" i="19"/>
  <c r="B69" i="19"/>
  <c r="B14" i="19"/>
  <c r="B130" i="19"/>
  <c r="B129" i="19"/>
  <c r="B141" i="19"/>
  <c r="B5" i="19" l="1"/>
  <c r="I12" i="16" l="1"/>
  <c r="AC14" i="6"/>
  <c r="C59" i="16" s="1"/>
  <c r="AC11" i="6"/>
  <c r="Y11" i="6"/>
  <c r="Y14" i="6" s="1"/>
  <c r="C58" i="16" s="1"/>
  <c r="U11" i="6"/>
  <c r="U14" i="6" s="1"/>
  <c r="C56" i="16" s="1"/>
  <c r="Q11" i="6"/>
  <c r="Q14" i="6" s="1"/>
  <c r="C55" i="16" s="1"/>
  <c r="Y3" i="6"/>
  <c r="M3" i="6"/>
  <c r="M75" i="19"/>
  <c r="O75" i="19" s="1"/>
  <c r="M7" i="19"/>
  <c r="O7" i="19" s="1"/>
  <c r="M6" i="19"/>
  <c r="O6" i="19" s="1"/>
  <c r="N4" i="16"/>
  <c r="F75" i="19"/>
  <c r="H75" i="19" s="1"/>
  <c r="F6" i="19"/>
  <c r="H6" i="19" s="1"/>
  <c r="F151" i="19"/>
  <c r="H151" i="19" s="1"/>
  <c r="F150" i="19"/>
  <c r="H150" i="19" s="1"/>
  <c r="F149" i="19"/>
  <c r="H149" i="19" s="1"/>
  <c r="F148" i="19"/>
  <c r="H148" i="19" s="1"/>
  <c r="F147" i="19"/>
  <c r="H147" i="19" s="1"/>
  <c r="F146" i="19" l="1"/>
  <c r="H146" i="19" s="1"/>
  <c r="F145" i="19"/>
  <c r="H145" i="19" s="1"/>
  <c r="F144" i="19"/>
  <c r="H144" i="19" s="1"/>
  <c r="F143" i="19"/>
  <c r="H143" i="19" s="1"/>
  <c r="F142" i="19"/>
  <c r="F141" i="19"/>
  <c r="H141" i="19" s="1"/>
  <c r="F140" i="19"/>
  <c r="H140" i="19" s="1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H142" i="19"/>
  <c r="AC3" i="6" l="1"/>
  <c r="C31" i="16" l="1"/>
  <c r="I67" i="16" l="1"/>
  <c r="F67" i="16"/>
  <c r="BA3" i="6"/>
  <c r="I69" i="16"/>
  <c r="F69" i="16"/>
  <c r="C69" i="16"/>
  <c r="C68" i="16"/>
  <c r="K68" i="16" s="1"/>
  <c r="I59" i="16"/>
  <c r="F59" i="16"/>
  <c r="I58" i="16"/>
  <c r="F58" i="16"/>
  <c r="I57" i="16"/>
  <c r="F57" i="16"/>
  <c r="I56" i="16"/>
  <c r="F56" i="16"/>
  <c r="K56" i="16"/>
  <c r="C60" i="16"/>
  <c r="K60" i="16" s="1"/>
  <c r="I11" i="16"/>
  <c r="K57" i="16" l="1"/>
  <c r="K59" i="16"/>
  <c r="BA6" i="6"/>
  <c r="C67" i="16" s="1"/>
  <c r="K67" i="16" s="1"/>
  <c r="K58" i="16"/>
  <c r="K69" i="16"/>
  <c r="B2" i="20" l="1"/>
  <c r="AW3" i="6" l="1"/>
  <c r="AW6" i="6" s="1"/>
  <c r="C65" i="16" s="1"/>
  <c r="AS3" i="6" l="1"/>
  <c r="AS6" i="6" s="1"/>
  <c r="C30" i="16" s="1"/>
  <c r="AO3" i="6"/>
  <c r="AO6" i="6" s="1"/>
  <c r="C29" i="16" s="1"/>
  <c r="AK3" i="6"/>
  <c r="AK6" i="6" s="1"/>
  <c r="C28" i="16" s="1"/>
  <c r="AG3" i="6" l="1"/>
  <c r="AG6" i="6" s="1"/>
  <c r="AC6" i="6"/>
  <c r="F13" i="16"/>
  <c r="I9" i="16" s="1"/>
  <c r="F64" i="16" l="1"/>
  <c r="I64" i="16"/>
  <c r="I10" i="16"/>
  <c r="Q3" i="6"/>
  <c r="I38" i="16"/>
  <c r="F38" i="16" l="1"/>
  <c r="A39" i="16"/>
  <c r="AG11" i="6" s="1"/>
  <c r="AG14" i="6" s="1"/>
  <c r="C39" i="16" s="1"/>
  <c r="I66" i="16" l="1"/>
  <c r="I65" i="16"/>
  <c r="F65" i="16"/>
  <c r="I54" i="16"/>
  <c r="F54" i="16"/>
  <c r="I55" i="16"/>
  <c r="F55" i="16"/>
  <c r="I31" i="16"/>
  <c r="F31" i="16"/>
  <c r="I40" i="16"/>
  <c r="I53" i="16" s="1"/>
  <c r="F40" i="16"/>
  <c r="F53" i="16" s="1"/>
  <c r="I39" i="16"/>
  <c r="F39" i="16"/>
  <c r="I30" i="16"/>
  <c r="F30" i="16"/>
  <c r="I29" i="16"/>
  <c r="I50" i="16" s="1"/>
  <c r="F29" i="16"/>
  <c r="F50" i="16" s="1"/>
  <c r="C50" i="16"/>
  <c r="F28" i="16"/>
  <c r="I28" i="16"/>
  <c r="I70" i="16" l="1"/>
  <c r="F37" i="16"/>
  <c r="I37" i="16"/>
  <c r="F70" i="16"/>
  <c r="C37" i="16"/>
  <c r="N5" i="16"/>
  <c r="H139" i="19"/>
  <c r="H138" i="19"/>
  <c r="H137" i="19"/>
  <c r="H136" i="19"/>
  <c r="H135" i="19"/>
  <c r="H134" i="19"/>
  <c r="H133" i="19"/>
  <c r="H132" i="19"/>
  <c r="H131" i="19"/>
  <c r="H130" i="19"/>
  <c r="H129" i="19"/>
  <c r="H128" i="19"/>
  <c r="H127" i="19"/>
  <c r="H126" i="19"/>
  <c r="H125" i="19"/>
  <c r="H124" i="19"/>
  <c r="H123" i="19"/>
  <c r="H122" i="19"/>
  <c r="H121" i="19"/>
  <c r="H120" i="19"/>
  <c r="H119" i="19"/>
  <c r="H118" i="19"/>
  <c r="H117" i="19"/>
  <c r="H116" i="19"/>
  <c r="H115" i="19"/>
  <c r="H114" i="19"/>
  <c r="H113" i="19"/>
  <c r="H112" i="19"/>
  <c r="H111" i="19"/>
  <c r="H110" i="19"/>
  <c r="H109" i="19"/>
  <c r="H108" i="19"/>
  <c r="H107" i="19"/>
  <c r="H106" i="19"/>
  <c r="H105" i="19"/>
  <c r="H104" i="19"/>
  <c r="H103" i="19"/>
  <c r="H102" i="19"/>
  <c r="H101" i="19"/>
  <c r="H100" i="19"/>
  <c r="H99" i="19"/>
  <c r="H98" i="19"/>
  <c r="H97" i="19"/>
  <c r="H96" i="19"/>
  <c r="H95" i="19"/>
  <c r="H94" i="19"/>
  <c r="H93" i="19"/>
  <c r="H92" i="19"/>
  <c r="H91" i="19"/>
  <c r="H90" i="19"/>
  <c r="H89" i="19"/>
  <c r="H88" i="19"/>
  <c r="H87" i="19"/>
  <c r="H86" i="19"/>
  <c r="H85" i="19"/>
  <c r="H84" i="19"/>
  <c r="H83" i="19"/>
  <c r="H82" i="19"/>
  <c r="H81" i="19"/>
  <c r="H80" i="19"/>
  <c r="H79" i="19"/>
  <c r="H78" i="19"/>
  <c r="H77" i="19"/>
  <c r="H76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F5" i="19"/>
  <c r="H5" i="19" s="1"/>
  <c r="K29" i="16" l="1"/>
  <c r="I36" i="16"/>
  <c r="F36" i="16"/>
  <c r="K65" i="16" l="1"/>
  <c r="K50" i="16"/>
  <c r="C36" i="16"/>
  <c r="K36" i="16" s="1"/>
  <c r="W138" i="13" l="1"/>
  <c r="W139" i="13"/>
  <c r="W135" i="13"/>
  <c r="W136" i="13"/>
  <c r="W137" i="13"/>
  <c r="C71" i="16" l="1"/>
  <c r="F71" i="16" s="1"/>
  <c r="I71" i="16" s="1"/>
  <c r="I52" i="16"/>
  <c r="C52" i="16"/>
  <c r="F52" i="16" l="1"/>
  <c r="I72" i="16" l="1"/>
  <c r="F72" i="16"/>
  <c r="K71" i="16" l="1"/>
  <c r="K55" i="16" l="1"/>
  <c r="M6" i="6" l="1"/>
  <c r="Y6" i="6"/>
  <c r="C54" i="16" s="1"/>
  <c r="K54" i="16" s="1"/>
  <c r="C66" i="16" l="1"/>
  <c r="F66" i="16" s="1"/>
  <c r="A52" i="16"/>
  <c r="C72" i="16"/>
  <c r="C40" i="16"/>
  <c r="K40" i="16" l="1"/>
  <c r="C53" i="16"/>
  <c r="K53" i="16" s="1"/>
  <c r="C70" i="16"/>
  <c r="K70" i="16" s="1"/>
  <c r="K72" i="16"/>
  <c r="K66" i="16" l="1"/>
  <c r="K52" i="16"/>
  <c r="K31" i="16"/>
  <c r="K39" i="16" l="1"/>
  <c r="B3" i="16"/>
  <c r="I35" i="16" l="1"/>
  <c r="F35" i="16"/>
  <c r="C35" i="16"/>
  <c r="F49" i="16" l="1"/>
  <c r="F41" i="16"/>
  <c r="I49" i="16"/>
  <c r="I41" i="16"/>
  <c r="C49" i="16"/>
  <c r="W71" i="13"/>
  <c r="V138" i="13"/>
  <c r="H133" i="13"/>
  <c r="I133" i="13" s="1"/>
  <c r="D133" i="13"/>
  <c r="E133" i="13" s="1"/>
  <c r="V137" i="13"/>
  <c r="H132" i="13"/>
  <c r="I132" i="13" s="1"/>
  <c r="D132" i="13"/>
  <c r="E132" i="13" s="1"/>
  <c r="V136" i="13"/>
  <c r="H131" i="13"/>
  <c r="I131" i="13" s="1"/>
  <c r="D131" i="13"/>
  <c r="E131" i="13" s="1"/>
  <c r="V135" i="13"/>
  <c r="R138" i="13"/>
  <c r="N138" i="13"/>
  <c r="H130" i="13"/>
  <c r="I130" i="13" s="1"/>
  <c r="D130" i="13"/>
  <c r="E130" i="13" s="1"/>
  <c r="V134" i="13"/>
  <c r="R134" i="13"/>
  <c r="N134" i="13"/>
  <c r="H129" i="13"/>
  <c r="I129" i="13" s="1"/>
  <c r="D129" i="13"/>
  <c r="E129" i="13" s="1"/>
  <c r="R133" i="13"/>
  <c r="N133" i="13"/>
  <c r="W133" i="13" s="1"/>
  <c r="A128" i="13"/>
  <c r="V133" i="13" s="1"/>
  <c r="V132" i="13"/>
  <c r="R132" i="13"/>
  <c r="N132" i="13"/>
  <c r="H127" i="13"/>
  <c r="I127" i="13" s="1"/>
  <c r="D127" i="13"/>
  <c r="E127" i="13" s="1"/>
  <c r="W132" i="13" s="1"/>
  <c r="V131" i="13"/>
  <c r="R131" i="13"/>
  <c r="N131" i="13"/>
  <c r="H126" i="13"/>
  <c r="I126" i="13" s="1"/>
  <c r="D126" i="13"/>
  <c r="E126" i="13" s="1"/>
  <c r="V130" i="13"/>
  <c r="R130" i="13"/>
  <c r="N130" i="13"/>
  <c r="H125" i="13"/>
  <c r="I125" i="13" s="1"/>
  <c r="D125" i="13"/>
  <c r="E125" i="13" s="1"/>
  <c r="V129" i="13"/>
  <c r="R129" i="13"/>
  <c r="N129" i="13"/>
  <c r="H124" i="13"/>
  <c r="I124" i="13" s="1"/>
  <c r="D124" i="13"/>
  <c r="E124" i="13" s="1"/>
  <c r="W129" i="13" s="1"/>
  <c r="V128" i="13"/>
  <c r="R128" i="13"/>
  <c r="N128" i="13"/>
  <c r="H123" i="13"/>
  <c r="I123" i="13" s="1"/>
  <c r="D123" i="13"/>
  <c r="E123" i="13" s="1"/>
  <c r="V127" i="13"/>
  <c r="R127" i="13"/>
  <c r="N127" i="13"/>
  <c r="H122" i="13"/>
  <c r="I122" i="13" s="1"/>
  <c r="D122" i="13"/>
  <c r="E122" i="13" s="1"/>
  <c r="W127" i="13" s="1"/>
  <c r="V126" i="13"/>
  <c r="R126" i="13"/>
  <c r="N126" i="13"/>
  <c r="H121" i="13"/>
  <c r="I121" i="13" s="1"/>
  <c r="D121" i="13"/>
  <c r="E121" i="13" s="1"/>
  <c r="V125" i="13"/>
  <c r="R125" i="13"/>
  <c r="N125" i="13"/>
  <c r="H120" i="13"/>
  <c r="I120" i="13" s="1"/>
  <c r="D120" i="13"/>
  <c r="E120" i="13" s="1"/>
  <c r="W125" i="13" s="1"/>
  <c r="V124" i="13"/>
  <c r="R124" i="13"/>
  <c r="N124" i="13"/>
  <c r="H119" i="13"/>
  <c r="I119" i="13" s="1"/>
  <c r="D119" i="13"/>
  <c r="E119" i="13" s="1"/>
  <c r="V123" i="13"/>
  <c r="R123" i="13"/>
  <c r="N123" i="13"/>
  <c r="H118" i="13"/>
  <c r="I118" i="13" s="1"/>
  <c r="D118" i="13"/>
  <c r="E118" i="13" s="1"/>
  <c r="W123" i="13" s="1"/>
  <c r="V122" i="13"/>
  <c r="R122" i="13"/>
  <c r="N122" i="13"/>
  <c r="H117" i="13"/>
  <c r="I117" i="13" s="1"/>
  <c r="D117" i="13"/>
  <c r="E117" i="13" s="1"/>
  <c r="V121" i="13"/>
  <c r="R121" i="13"/>
  <c r="N121" i="13"/>
  <c r="H116" i="13"/>
  <c r="I116" i="13" s="1"/>
  <c r="D116" i="13"/>
  <c r="E116" i="13" s="1"/>
  <c r="W121" i="13" s="1"/>
  <c r="V120" i="13"/>
  <c r="R120" i="13"/>
  <c r="N120" i="13"/>
  <c r="H115" i="13"/>
  <c r="I115" i="13" s="1"/>
  <c r="D115" i="13"/>
  <c r="E115" i="13" s="1"/>
  <c r="V119" i="13"/>
  <c r="R119" i="13"/>
  <c r="N119" i="13"/>
  <c r="H114" i="13"/>
  <c r="I114" i="13" s="1"/>
  <c r="D114" i="13"/>
  <c r="E114" i="13" s="1"/>
  <c r="W119" i="13" s="1"/>
  <c r="V118" i="13"/>
  <c r="R118" i="13"/>
  <c r="N118" i="13"/>
  <c r="H113" i="13"/>
  <c r="I113" i="13" s="1"/>
  <c r="D113" i="13"/>
  <c r="E113" i="13" s="1"/>
  <c r="V117" i="13"/>
  <c r="R117" i="13"/>
  <c r="N117" i="13"/>
  <c r="H112" i="13"/>
  <c r="I112" i="13" s="1"/>
  <c r="D112" i="13"/>
  <c r="E112" i="13" s="1"/>
  <c r="W117" i="13" s="1"/>
  <c r="V116" i="13"/>
  <c r="R116" i="13"/>
  <c r="N116" i="13"/>
  <c r="H111" i="13"/>
  <c r="I111" i="13" s="1"/>
  <c r="D111" i="13"/>
  <c r="E111" i="13" s="1"/>
  <c r="V115" i="13"/>
  <c r="R115" i="13"/>
  <c r="N115" i="13"/>
  <c r="H110" i="13"/>
  <c r="I110" i="13" s="1"/>
  <c r="D110" i="13"/>
  <c r="E110" i="13" s="1"/>
  <c r="W115" i="13" s="1"/>
  <c r="V114" i="13"/>
  <c r="R114" i="13"/>
  <c r="N114" i="13"/>
  <c r="H109" i="13"/>
  <c r="I109" i="13" s="1"/>
  <c r="D109" i="13"/>
  <c r="E109" i="13" s="1"/>
  <c r="V113" i="13"/>
  <c r="R113" i="13"/>
  <c r="N113" i="13"/>
  <c r="H108" i="13"/>
  <c r="I108" i="13" s="1"/>
  <c r="D108" i="13"/>
  <c r="E108" i="13" s="1"/>
  <c r="W113" i="13" s="1"/>
  <c r="V112" i="13"/>
  <c r="R112" i="13"/>
  <c r="N112" i="13"/>
  <c r="H107" i="13"/>
  <c r="I107" i="13" s="1"/>
  <c r="D107" i="13"/>
  <c r="E107" i="13" s="1"/>
  <c r="W111" i="13"/>
  <c r="R111" i="13"/>
  <c r="N111" i="13"/>
  <c r="A106" i="13"/>
  <c r="V110" i="13"/>
  <c r="R110" i="13"/>
  <c r="N110" i="13"/>
  <c r="H105" i="13"/>
  <c r="I105" i="13" s="1"/>
  <c r="D105" i="13"/>
  <c r="E105" i="13" s="1"/>
  <c r="V109" i="13"/>
  <c r="R109" i="13"/>
  <c r="N109" i="13"/>
  <c r="H104" i="13"/>
  <c r="I104" i="13" s="1"/>
  <c r="D104" i="13"/>
  <c r="E104" i="13" s="1"/>
  <c r="W109" i="13" s="1"/>
  <c r="V108" i="13"/>
  <c r="R108" i="13"/>
  <c r="N108" i="13"/>
  <c r="H103" i="13"/>
  <c r="I103" i="13" s="1"/>
  <c r="D103" i="13"/>
  <c r="E103" i="13" s="1"/>
  <c r="V107" i="13"/>
  <c r="R107" i="13"/>
  <c r="N107" i="13"/>
  <c r="H102" i="13"/>
  <c r="I102" i="13" s="1"/>
  <c r="D102" i="13"/>
  <c r="E102" i="13" s="1"/>
  <c r="W107" i="13" s="1"/>
  <c r="V106" i="13"/>
  <c r="R106" i="13"/>
  <c r="N106" i="13"/>
  <c r="D101" i="13"/>
  <c r="E101" i="13" s="1"/>
  <c r="W106" i="13" s="1"/>
  <c r="H101" i="13"/>
  <c r="I101" i="13" s="1"/>
  <c r="V105" i="13"/>
  <c r="R105" i="13"/>
  <c r="N105" i="13"/>
  <c r="H100" i="13"/>
  <c r="I100" i="13" s="1"/>
  <c r="D100" i="13"/>
  <c r="E100" i="13" s="1"/>
  <c r="V104" i="13"/>
  <c r="R104" i="13"/>
  <c r="N104" i="13"/>
  <c r="H99" i="13"/>
  <c r="I99" i="13" s="1"/>
  <c r="D99" i="13"/>
  <c r="E99" i="13" s="1"/>
  <c r="W104" i="13" s="1"/>
  <c r="V103" i="13"/>
  <c r="R103" i="13"/>
  <c r="N103" i="13"/>
  <c r="H98" i="13"/>
  <c r="I98" i="13" s="1"/>
  <c r="D98" i="13"/>
  <c r="E98" i="13" s="1"/>
  <c r="W103" i="13" s="1"/>
  <c r="V102" i="13"/>
  <c r="R102" i="13"/>
  <c r="N102" i="13"/>
  <c r="H97" i="13"/>
  <c r="I97" i="13" s="1"/>
  <c r="D97" i="13"/>
  <c r="E97" i="13" s="1"/>
  <c r="V101" i="13"/>
  <c r="R101" i="13"/>
  <c r="N101" i="13"/>
  <c r="H96" i="13"/>
  <c r="I96" i="13" s="1"/>
  <c r="D96" i="13"/>
  <c r="E96" i="13" s="1"/>
  <c r="W101" i="13" s="1"/>
  <c r="V100" i="13"/>
  <c r="R100" i="13"/>
  <c r="N100" i="13"/>
  <c r="H95" i="13"/>
  <c r="I95" i="13" s="1"/>
  <c r="D95" i="13"/>
  <c r="E95" i="13" s="1"/>
  <c r="V99" i="13"/>
  <c r="R99" i="13"/>
  <c r="N99" i="13"/>
  <c r="H94" i="13"/>
  <c r="I94" i="13" s="1"/>
  <c r="D94" i="13"/>
  <c r="E94" i="13" s="1"/>
  <c r="W99" i="13" s="1"/>
  <c r="V98" i="13"/>
  <c r="R98" i="13"/>
  <c r="N98" i="13"/>
  <c r="H93" i="13"/>
  <c r="I93" i="13" s="1"/>
  <c r="D93" i="13"/>
  <c r="E93" i="13" s="1"/>
  <c r="V97" i="13"/>
  <c r="R97" i="13"/>
  <c r="N97" i="13"/>
  <c r="H92" i="13"/>
  <c r="I92" i="13" s="1"/>
  <c r="D92" i="13"/>
  <c r="E92" i="13" s="1"/>
  <c r="V96" i="13"/>
  <c r="R96" i="13"/>
  <c r="N96" i="13"/>
  <c r="D91" i="13"/>
  <c r="E91" i="13" s="1"/>
  <c r="W96" i="13" s="1"/>
  <c r="H91" i="13"/>
  <c r="I91" i="13" s="1"/>
  <c r="V95" i="13"/>
  <c r="R95" i="13"/>
  <c r="N95" i="13"/>
  <c r="H90" i="13"/>
  <c r="I90" i="13" s="1"/>
  <c r="D90" i="13"/>
  <c r="E90" i="13" s="1"/>
  <c r="V94" i="13"/>
  <c r="R94" i="13"/>
  <c r="N94" i="13"/>
  <c r="H89" i="13"/>
  <c r="I89" i="13" s="1"/>
  <c r="D89" i="13"/>
  <c r="E89" i="13" s="1"/>
  <c r="W94" i="13" s="1"/>
  <c r="V93" i="13"/>
  <c r="R93" i="13"/>
  <c r="N93" i="13"/>
  <c r="H88" i="13"/>
  <c r="I88" i="13" s="1"/>
  <c r="D88" i="13"/>
  <c r="E88" i="13" s="1"/>
  <c r="V92" i="13"/>
  <c r="R92" i="13"/>
  <c r="N92" i="13"/>
  <c r="H87" i="13"/>
  <c r="I87" i="13" s="1"/>
  <c r="D87" i="13"/>
  <c r="E87" i="13" s="1"/>
  <c r="W92" i="13" s="1"/>
  <c r="V91" i="13"/>
  <c r="R91" i="13"/>
  <c r="N91" i="13"/>
  <c r="H86" i="13"/>
  <c r="I86" i="13" s="1"/>
  <c r="D86" i="13"/>
  <c r="E86" i="13" s="1"/>
  <c r="V90" i="13"/>
  <c r="R90" i="13"/>
  <c r="N90" i="13"/>
  <c r="D85" i="13"/>
  <c r="E85" i="13" s="1"/>
  <c r="W90" i="13" s="1"/>
  <c r="H85" i="13"/>
  <c r="I85" i="13" s="1"/>
  <c r="V89" i="13"/>
  <c r="R89" i="13"/>
  <c r="N89" i="13"/>
  <c r="H84" i="13"/>
  <c r="I84" i="13" s="1"/>
  <c r="D84" i="13"/>
  <c r="E84" i="13" s="1"/>
  <c r="V88" i="13"/>
  <c r="R88" i="13"/>
  <c r="N88" i="13"/>
  <c r="H83" i="13"/>
  <c r="I83" i="13" s="1"/>
  <c r="D83" i="13"/>
  <c r="E83" i="13" s="1"/>
  <c r="W88" i="13" s="1"/>
  <c r="V87" i="13"/>
  <c r="R87" i="13"/>
  <c r="N87" i="13"/>
  <c r="H82" i="13"/>
  <c r="I82" i="13" s="1"/>
  <c r="D82" i="13"/>
  <c r="E82" i="13" s="1"/>
  <c r="W87" i="13" s="1"/>
  <c r="V86" i="13"/>
  <c r="R86" i="13"/>
  <c r="N86" i="13"/>
  <c r="H81" i="13"/>
  <c r="I81" i="13" s="1"/>
  <c r="D81" i="13"/>
  <c r="E81" i="13" s="1"/>
  <c r="V85" i="13"/>
  <c r="R85" i="13"/>
  <c r="N85" i="13"/>
  <c r="H80" i="13"/>
  <c r="I80" i="13" s="1"/>
  <c r="D80" i="13"/>
  <c r="E80" i="13" s="1"/>
  <c r="W85" i="13" s="1"/>
  <c r="V84" i="13"/>
  <c r="R84" i="13"/>
  <c r="N84" i="13"/>
  <c r="H79" i="13"/>
  <c r="I79" i="13" s="1"/>
  <c r="D79" i="13"/>
  <c r="E79" i="13" s="1"/>
  <c r="V83" i="13"/>
  <c r="R83" i="13"/>
  <c r="N83" i="13"/>
  <c r="H78" i="13"/>
  <c r="I78" i="13" s="1"/>
  <c r="D78" i="13"/>
  <c r="E78" i="13" s="1"/>
  <c r="W83" i="13" s="1"/>
  <c r="V82" i="13"/>
  <c r="R82" i="13"/>
  <c r="N82" i="13"/>
  <c r="H77" i="13"/>
  <c r="I77" i="13" s="1"/>
  <c r="D77" i="13"/>
  <c r="E77" i="13" s="1"/>
  <c r="W82" i="13" s="1"/>
  <c r="V81" i="13"/>
  <c r="R81" i="13"/>
  <c r="N81" i="13"/>
  <c r="H76" i="13"/>
  <c r="I76" i="13" s="1"/>
  <c r="D76" i="13"/>
  <c r="E76" i="13" s="1"/>
  <c r="W81" i="13" s="1"/>
  <c r="R80" i="13"/>
  <c r="N80" i="13"/>
  <c r="W80" i="13"/>
  <c r="A75" i="13"/>
  <c r="V80" i="13" s="1"/>
  <c r="V79" i="13"/>
  <c r="R79" i="13"/>
  <c r="N79" i="13"/>
  <c r="H74" i="13"/>
  <c r="I74" i="13" s="1"/>
  <c r="D74" i="13"/>
  <c r="E74" i="13" s="1"/>
  <c r="W79" i="13" s="1"/>
  <c r="V78" i="13"/>
  <c r="R78" i="13"/>
  <c r="N78" i="13"/>
  <c r="H73" i="13"/>
  <c r="I73" i="13" s="1"/>
  <c r="D73" i="13"/>
  <c r="E73" i="13" s="1"/>
  <c r="W78" i="13" s="1"/>
  <c r="V77" i="13"/>
  <c r="R77" i="13"/>
  <c r="N77" i="13"/>
  <c r="H72" i="13"/>
  <c r="I72" i="13" s="1"/>
  <c r="D72" i="13"/>
  <c r="E72" i="13" s="1"/>
  <c r="V76" i="13"/>
  <c r="R76" i="13"/>
  <c r="N76" i="13"/>
  <c r="H71" i="13"/>
  <c r="I71" i="13" s="1"/>
  <c r="D71" i="13"/>
  <c r="E71" i="13" s="1"/>
  <c r="W76" i="13" s="1"/>
  <c r="R75" i="13"/>
  <c r="N75" i="13"/>
  <c r="A70" i="13"/>
  <c r="V75" i="13" s="1"/>
  <c r="V74" i="13"/>
  <c r="R74" i="13"/>
  <c r="N74" i="13"/>
  <c r="H69" i="13"/>
  <c r="I69" i="13" s="1"/>
  <c r="D69" i="13"/>
  <c r="E69" i="13" s="1"/>
  <c r="V73" i="13"/>
  <c r="R73" i="13"/>
  <c r="N73" i="13"/>
  <c r="H68" i="13"/>
  <c r="I68" i="13" s="1"/>
  <c r="D68" i="13"/>
  <c r="E68" i="13" s="1"/>
  <c r="W73" i="13" s="1"/>
  <c r="V72" i="13"/>
  <c r="R72" i="13"/>
  <c r="N72" i="13"/>
  <c r="H67" i="13"/>
  <c r="I67" i="13" s="1"/>
  <c r="D67" i="13"/>
  <c r="E67" i="13" s="1"/>
  <c r="R71" i="13"/>
  <c r="N71" i="13"/>
  <c r="A66" i="13"/>
  <c r="V70" i="13"/>
  <c r="R70" i="13"/>
  <c r="N70" i="13"/>
  <c r="H65" i="13"/>
  <c r="I65" i="13" s="1"/>
  <c r="D65" i="13"/>
  <c r="E65" i="13" s="1"/>
  <c r="V69" i="13"/>
  <c r="R69" i="13"/>
  <c r="N69" i="13"/>
  <c r="H64" i="13"/>
  <c r="I64" i="13" s="1"/>
  <c r="D64" i="13"/>
  <c r="E64" i="13" s="1"/>
  <c r="W69" i="13" s="1"/>
  <c r="V68" i="13"/>
  <c r="R68" i="13"/>
  <c r="N68" i="13"/>
  <c r="H63" i="13"/>
  <c r="I63" i="13" s="1"/>
  <c r="D63" i="13"/>
  <c r="E63" i="13" s="1"/>
  <c r="V67" i="13"/>
  <c r="R67" i="13"/>
  <c r="N67" i="13"/>
  <c r="D62" i="13"/>
  <c r="E62" i="13" s="1"/>
  <c r="H62" i="13"/>
  <c r="I62" i="13" s="1"/>
  <c r="V66" i="13"/>
  <c r="R66" i="13"/>
  <c r="N66" i="13"/>
  <c r="H61" i="13"/>
  <c r="I61" i="13" s="1"/>
  <c r="D61" i="13"/>
  <c r="E61" i="13" s="1"/>
  <c r="V65" i="13"/>
  <c r="R65" i="13"/>
  <c r="N65" i="13"/>
  <c r="I60" i="13"/>
  <c r="E60" i="13"/>
  <c r="V64" i="13"/>
  <c r="R64" i="13"/>
  <c r="N64" i="13"/>
  <c r="H59" i="13"/>
  <c r="I59" i="13" s="1"/>
  <c r="D59" i="13"/>
  <c r="E59" i="13" s="1"/>
  <c r="W64" i="13" s="1"/>
  <c r="V63" i="13"/>
  <c r="R63" i="13"/>
  <c r="N63" i="13"/>
  <c r="D58" i="13"/>
  <c r="E58" i="13" s="1"/>
  <c r="H58" i="13"/>
  <c r="I58" i="13" s="1"/>
  <c r="V62" i="13"/>
  <c r="R62" i="13"/>
  <c r="N62" i="13"/>
  <c r="H57" i="13"/>
  <c r="I57" i="13" s="1"/>
  <c r="D57" i="13"/>
  <c r="E57" i="13" s="1"/>
  <c r="W62" i="13" s="1"/>
  <c r="V61" i="13"/>
  <c r="R61" i="13"/>
  <c r="N61" i="13"/>
  <c r="H56" i="13"/>
  <c r="I56" i="13" s="1"/>
  <c r="D56" i="13"/>
  <c r="E56" i="13" s="1"/>
  <c r="V60" i="13"/>
  <c r="R60" i="13"/>
  <c r="N60" i="13"/>
  <c r="H55" i="13"/>
  <c r="I55" i="13" s="1"/>
  <c r="D55" i="13"/>
  <c r="E55" i="13" s="1"/>
  <c r="W60" i="13" s="1"/>
  <c r="V59" i="13"/>
  <c r="R59" i="13"/>
  <c r="N59" i="13"/>
  <c r="D54" i="13"/>
  <c r="E54" i="13" s="1"/>
  <c r="H54" i="13"/>
  <c r="I54" i="13" s="1"/>
  <c r="V58" i="13"/>
  <c r="R58" i="13"/>
  <c r="N58" i="13"/>
  <c r="D53" i="13"/>
  <c r="E53" i="13" s="1"/>
  <c r="W58" i="13" s="1"/>
  <c r="H53" i="13"/>
  <c r="I53" i="13" s="1"/>
  <c r="V57" i="13"/>
  <c r="R57" i="13"/>
  <c r="N57" i="13"/>
  <c r="H52" i="13"/>
  <c r="I52" i="13" s="1"/>
  <c r="D52" i="13"/>
  <c r="E52" i="13" s="1"/>
  <c r="V56" i="13"/>
  <c r="R56" i="13"/>
  <c r="N56" i="13"/>
  <c r="H51" i="13"/>
  <c r="I51" i="13" s="1"/>
  <c r="D51" i="13"/>
  <c r="E51" i="13" s="1"/>
  <c r="W56" i="13" s="1"/>
  <c r="V55" i="13"/>
  <c r="D50" i="13"/>
  <c r="E50" i="13" s="1"/>
  <c r="R55" i="13"/>
  <c r="N55" i="13"/>
  <c r="H50" i="13"/>
  <c r="I50" i="13" s="1"/>
  <c r="V54" i="13"/>
  <c r="R54" i="13"/>
  <c r="N54" i="13"/>
  <c r="H49" i="13"/>
  <c r="I49" i="13" s="1"/>
  <c r="D49" i="13"/>
  <c r="E49" i="13" s="1"/>
  <c r="W54" i="13" s="1"/>
  <c r="V53" i="13"/>
  <c r="R53" i="13"/>
  <c r="N53" i="13"/>
  <c r="H48" i="13"/>
  <c r="I48" i="13" s="1"/>
  <c r="D48" i="13"/>
  <c r="E48" i="13" s="1"/>
  <c r="V52" i="13"/>
  <c r="R52" i="13"/>
  <c r="N52" i="13"/>
  <c r="H47" i="13"/>
  <c r="I47" i="13" s="1"/>
  <c r="D47" i="13"/>
  <c r="E47" i="13" s="1"/>
  <c r="W52" i="13" s="1"/>
  <c r="V51" i="13"/>
  <c r="R51" i="13"/>
  <c r="N51" i="13"/>
  <c r="H46" i="13"/>
  <c r="I46" i="13" s="1"/>
  <c r="D46" i="13"/>
  <c r="E46" i="13" s="1"/>
  <c r="V49" i="13"/>
  <c r="R49" i="13"/>
  <c r="N49" i="13"/>
  <c r="H45" i="13"/>
  <c r="I45" i="13" s="1"/>
  <c r="D45" i="13"/>
  <c r="E45" i="13" s="1"/>
  <c r="V48" i="13"/>
  <c r="R48" i="13"/>
  <c r="N48" i="13"/>
  <c r="H44" i="13"/>
  <c r="I44" i="13" s="1"/>
  <c r="D44" i="13"/>
  <c r="E44" i="13" s="1"/>
  <c r="W48" i="13" s="1"/>
  <c r="V47" i="13"/>
  <c r="R47" i="13"/>
  <c r="N47" i="13"/>
  <c r="H43" i="13"/>
  <c r="I43" i="13" s="1"/>
  <c r="D43" i="13"/>
  <c r="E43" i="13" s="1"/>
  <c r="W47" i="13" s="1"/>
  <c r="V46" i="13"/>
  <c r="D42" i="13"/>
  <c r="E42" i="13" s="1"/>
  <c r="W46" i="13" s="1"/>
  <c r="R46" i="13"/>
  <c r="N46" i="13"/>
  <c r="H42" i="13"/>
  <c r="I42" i="13" s="1"/>
  <c r="V45" i="13"/>
  <c r="R45" i="13"/>
  <c r="N45" i="13"/>
  <c r="H41" i="13"/>
  <c r="I41" i="13" s="1"/>
  <c r="D41" i="13"/>
  <c r="E41" i="13" s="1"/>
  <c r="W45" i="13" s="1"/>
  <c r="V44" i="13"/>
  <c r="R44" i="13"/>
  <c r="N44" i="13"/>
  <c r="D40" i="13"/>
  <c r="E40" i="13" s="1"/>
  <c r="H40" i="13"/>
  <c r="I40" i="13" s="1"/>
  <c r="V43" i="13"/>
  <c r="R43" i="13"/>
  <c r="N43" i="13"/>
  <c r="H39" i="13"/>
  <c r="I39" i="13" s="1"/>
  <c r="D39" i="13"/>
  <c r="E39" i="13" s="1"/>
  <c r="V42" i="13"/>
  <c r="R42" i="13"/>
  <c r="N42" i="13"/>
  <c r="H38" i="13"/>
  <c r="I38" i="13" s="1"/>
  <c r="D38" i="13"/>
  <c r="E38" i="13" s="1"/>
  <c r="W42" i="13" s="1"/>
  <c r="V41" i="13"/>
  <c r="R41" i="13"/>
  <c r="N41" i="13"/>
  <c r="D37" i="13"/>
  <c r="E37" i="13" s="1"/>
  <c r="H37" i="13"/>
  <c r="I37" i="13" s="1"/>
  <c r="V40" i="13"/>
  <c r="R40" i="13"/>
  <c r="N40" i="13"/>
  <c r="H36" i="13"/>
  <c r="I36" i="13" s="1"/>
  <c r="D36" i="13"/>
  <c r="E36" i="13" s="1"/>
  <c r="W40" i="13" s="1"/>
  <c r="V39" i="13"/>
  <c r="R39" i="13"/>
  <c r="N39" i="13"/>
  <c r="H35" i="13"/>
  <c r="I35" i="13" s="1"/>
  <c r="D35" i="13"/>
  <c r="E35" i="13" s="1"/>
  <c r="V38" i="13"/>
  <c r="R38" i="13"/>
  <c r="N38" i="13"/>
  <c r="H34" i="13"/>
  <c r="I34" i="13" s="1"/>
  <c r="D34" i="13"/>
  <c r="E34" i="13" s="1"/>
  <c r="V37" i="13"/>
  <c r="R37" i="13"/>
  <c r="N37" i="13"/>
  <c r="H33" i="13"/>
  <c r="I33" i="13" s="1"/>
  <c r="D33" i="13"/>
  <c r="E33" i="13" s="1"/>
  <c r="V36" i="13"/>
  <c r="R36" i="13"/>
  <c r="N36" i="13"/>
  <c r="H32" i="13"/>
  <c r="I32" i="13" s="1"/>
  <c r="D32" i="13"/>
  <c r="E32" i="13" s="1"/>
  <c r="W36" i="13" s="1"/>
  <c r="V35" i="13"/>
  <c r="R35" i="13"/>
  <c r="N35" i="13"/>
  <c r="H31" i="13"/>
  <c r="I31" i="13" s="1"/>
  <c r="D31" i="13"/>
  <c r="E31" i="13" s="1"/>
  <c r="V33" i="13"/>
  <c r="D30" i="13"/>
  <c r="E30" i="13" s="1"/>
  <c r="R33" i="13"/>
  <c r="N33" i="13"/>
  <c r="H30" i="13"/>
  <c r="I30" i="13" s="1"/>
  <c r="V31" i="13"/>
  <c r="R31" i="13"/>
  <c r="N31" i="13"/>
  <c r="H29" i="13"/>
  <c r="I29" i="13" s="1"/>
  <c r="D29" i="13"/>
  <c r="E29" i="13" s="1"/>
  <c r="V30" i="13"/>
  <c r="R30" i="13"/>
  <c r="N30" i="13"/>
  <c r="H28" i="13"/>
  <c r="I28" i="13" s="1"/>
  <c r="D28" i="13"/>
  <c r="E28" i="13" s="1"/>
  <c r="W30" i="13" s="1"/>
  <c r="V29" i="13"/>
  <c r="R29" i="13"/>
  <c r="N29" i="13"/>
  <c r="H27" i="13"/>
  <c r="I27" i="13" s="1"/>
  <c r="D27" i="13"/>
  <c r="E27" i="13" s="1"/>
  <c r="V26" i="13"/>
  <c r="R26" i="13"/>
  <c r="N26" i="13"/>
  <c r="H26" i="13"/>
  <c r="I26" i="13" s="1"/>
  <c r="D26" i="13"/>
  <c r="E26" i="13" s="1"/>
  <c r="W26" i="13" s="1"/>
  <c r="V25" i="13"/>
  <c r="R25" i="13"/>
  <c r="N25" i="13"/>
  <c r="H25" i="13"/>
  <c r="I25" i="13" s="1"/>
  <c r="D25" i="13"/>
  <c r="E25" i="13" s="1"/>
  <c r="V24" i="13"/>
  <c r="R24" i="13"/>
  <c r="N24" i="13"/>
  <c r="D24" i="13"/>
  <c r="E24" i="13" s="1"/>
  <c r="W24" i="13" s="1"/>
  <c r="H24" i="13"/>
  <c r="I24" i="13" s="1"/>
  <c r="V23" i="13"/>
  <c r="R23" i="13"/>
  <c r="N23" i="13"/>
  <c r="H23" i="13"/>
  <c r="I23" i="13" s="1"/>
  <c r="D23" i="13"/>
  <c r="E23" i="13" s="1"/>
  <c r="V22" i="13"/>
  <c r="R22" i="13"/>
  <c r="N22" i="13"/>
  <c r="D22" i="13"/>
  <c r="E22" i="13" s="1"/>
  <c r="W22" i="13" s="1"/>
  <c r="H22" i="13"/>
  <c r="I22" i="13" s="1"/>
  <c r="V21" i="13"/>
  <c r="R21" i="13"/>
  <c r="N21" i="13"/>
  <c r="H21" i="13"/>
  <c r="I21" i="13" s="1"/>
  <c r="D21" i="13"/>
  <c r="E21" i="13" s="1"/>
  <c r="V20" i="13"/>
  <c r="R20" i="13"/>
  <c r="N20" i="13"/>
  <c r="H20" i="13"/>
  <c r="I20" i="13" s="1"/>
  <c r="D20" i="13"/>
  <c r="E20" i="13" s="1"/>
  <c r="W20" i="13" s="1"/>
  <c r="V19" i="13"/>
  <c r="R19" i="13"/>
  <c r="N19" i="13"/>
  <c r="H19" i="13"/>
  <c r="I19" i="13" s="1"/>
  <c r="D19" i="13"/>
  <c r="E19" i="13" s="1"/>
  <c r="V18" i="13"/>
  <c r="R18" i="13"/>
  <c r="N18" i="13"/>
  <c r="H18" i="13"/>
  <c r="I18" i="13" s="1"/>
  <c r="D18" i="13"/>
  <c r="E18" i="13" s="1"/>
  <c r="V17" i="13"/>
  <c r="R17" i="13"/>
  <c r="N17" i="13"/>
  <c r="H17" i="13"/>
  <c r="I17" i="13" s="1"/>
  <c r="D17" i="13"/>
  <c r="E17" i="13" s="1"/>
  <c r="W17" i="13" s="1"/>
  <c r="V16" i="13"/>
  <c r="R16" i="13"/>
  <c r="N16" i="13"/>
  <c r="D16" i="13"/>
  <c r="E16" i="13" s="1"/>
  <c r="H16" i="13"/>
  <c r="I16" i="13" s="1"/>
  <c r="V15" i="13"/>
  <c r="R15" i="13"/>
  <c r="N15" i="13"/>
  <c r="H15" i="13"/>
  <c r="I15" i="13" s="1"/>
  <c r="D15" i="13"/>
  <c r="E15" i="13" s="1"/>
  <c r="W15" i="13" s="1"/>
  <c r="V14" i="13"/>
  <c r="R14" i="13"/>
  <c r="N14" i="13"/>
  <c r="H14" i="13"/>
  <c r="I14" i="13" s="1"/>
  <c r="D14" i="13"/>
  <c r="E14" i="13" s="1"/>
  <c r="V13" i="13"/>
  <c r="R13" i="13"/>
  <c r="N13" i="13"/>
  <c r="H13" i="13"/>
  <c r="I13" i="13" s="1"/>
  <c r="D13" i="13"/>
  <c r="E13" i="13" s="1"/>
  <c r="W13" i="13" s="1"/>
  <c r="V12" i="13"/>
  <c r="R12" i="13"/>
  <c r="N12" i="13"/>
  <c r="H12" i="13"/>
  <c r="I12" i="13" s="1"/>
  <c r="D12" i="13"/>
  <c r="E12" i="13" s="1"/>
  <c r="V11" i="13"/>
  <c r="R11" i="13"/>
  <c r="N11" i="13"/>
  <c r="H11" i="13"/>
  <c r="I11" i="13" s="1"/>
  <c r="D11" i="13"/>
  <c r="E11" i="13" s="1"/>
  <c r="W11" i="13" s="1"/>
  <c r="V10" i="13"/>
  <c r="R10" i="13"/>
  <c r="N10" i="13"/>
  <c r="H10" i="13"/>
  <c r="I10" i="13" s="1"/>
  <c r="D10" i="13"/>
  <c r="E10" i="13" s="1"/>
  <c r="V9" i="13"/>
  <c r="R9" i="13"/>
  <c r="N9" i="13"/>
  <c r="H9" i="13"/>
  <c r="I9" i="13" s="1"/>
  <c r="D9" i="13"/>
  <c r="E9" i="13" s="1"/>
  <c r="W9" i="13" s="1"/>
  <c r="V8" i="13"/>
  <c r="R8" i="13"/>
  <c r="N8" i="13"/>
  <c r="H8" i="13"/>
  <c r="I8" i="13" s="1"/>
  <c r="D8" i="13"/>
  <c r="E8" i="13" s="1"/>
  <c r="V7" i="13"/>
  <c r="R7" i="13"/>
  <c r="N7" i="13"/>
  <c r="H7" i="13"/>
  <c r="I7" i="13" s="1"/>
  <c r="D7" i="13"/>
  <c r="E7" i="13" s="1"/>
  <c r="W7" i="13" s="1"/>
  <c r="V6" i="13"/>
  <c r="R6" i="13"/>
  <c r="N6" i="13"/>
  <c r="D6" i="13"/>
  <c r="E6" i="13" s="1"/>
  <c r="H6" i="13"/>
  <c r="I6" i="13" s="1"/>
  <c r="V5" i="13"/>
  <c r="R5" i="13"/>
  <c r="N5" i="13"/>
  <c r="H5" i="13"/>
  <c r="I5" i="13" s="1"/>
  <c r="D5" i="13"/>
  <c r="E5" i="13" s="1"/>
  <c r="W5" i="13" s="1"/>
  <c r="V4" i="13"/>
  <c r="R4" i="13"/>
  <c r="N4" i="13"/>
  <c r="H4" i="13"/>
  <c r="I4" i="13" s="1"/>
  <c r="D4" i="13"/>
  <c r="E4" i="13" s="1"/>
  <c r="R3" i="13"/>
  <c r="N3" i="13"/>
  <c r="A3" i="13"/>
  <c r="V2" i="13"/>
  <c r="R2" i="13"/>
  <c r="N2" i="13"/>
  <c r="D2" i="13"/>
  <c r="E2" i="13" s="1"/>
  <c r="W2" i="13" s="1"/>
  <c r="H2" i="13"/>
  <c r="I2" i="13" s="1"/>
  <c r="W84" i="13"/>
  <c r="W97" i="13" l="1"/>
  <c r="W102" i="13"/>
  <c r="V3" i="13"/>
  <c r="W4" i="13"/>
  <c r="W8" i="13"/>
  <c r="W10" i="13"/>
  <c r="W12" i="13"/>
  <c r="W19" i="13"/>
  <c r="W21" i="13"/>
  <c r="W23" i="13"/>
  <c r="W25" i="13"/>
  <c r="W29" i="13"/>
  <c r="W44" i="13"/>
  <c r="W49" i="13"/>
  <c r="W57" i="13"/>
  <c r="W59" i="13"/>
  <c r="W63" i="13"/>
  <c r="W68" i="13"/>
  <c r="V71" i="13"/>
  <c r="W33" i="13"/>
  <c r="W39" i="13"/>
  <c r="W43" i="13"/>
  <c r="W65" i="13"/>
  <c r="W70" i="13"/>
  <c r="W75" i="13"/>
  <c r="W77" i="13"/>
  <c r="V111" i="13"/>
  <c r="W3" i="13"/>
  <c r="W16" i="13"/>
  <c r="W38" i="13"/>
  <c r="W41" i="13"/>
  <c r="W89" i="13"/>
  <c r="W91" i="13"/>
  <c r="W98" i="13"/>
  <c r="W108" i="13"/>
  <c r="W110" i="13"/>
  <c r="W112" i="13"/>
  <c r="W114" i="13"/>
  <c r="W116" i="13"/>
  <c r="W118" i="13"/>
  <c r="W120" i="13"/>
  <c r="W122" i="13"/>
  <c r="W124" i="13"/>
  <c r="W126" i="13"/>
  <c r="W128" i="13"/>
  <c r="W130" i="13"/>
  <c r="W131" i="13"/>
  <c r="W6" i="13"/>
  <c r="W14" i="13"/>
  <c r="W18" i="13"/>
  <c r="W31" i="13"/>
  <c r="W35" i="13"/>
  <c r="W37" i="13"/>
  <c r="W51" i="13"/>
  <c r="W53" i="13"/>
  <c r="W55" i="13"/>
  <c r="W61" i="13"/>
  <c r="W66" i="13"/>
  <c r="W67" i="13"/>
  <c r="W72" i="13"/>
  <c r="W74" i="13"/>
  <c r="W86" i="13"/>
  <c r="W93" i="13"/>
  <c r="W95" i="13"/>
  <c r="W100" i="13"/>
  <c r="W105" i="13"/>
  <c r="W134" i="13"/>
  <c r="K49" i="16" l="1"/>
  <c r="K35" i="16"/>
  <c r="C32" i="16" l="1"/>
  <c r="K28" i="16" l="1"/>
  <c r="F32" i="16"/>
  <c r="I32" i="16"/>
  <c r="K30" i="16"/>
  <c r="K37" i="16" l="1"/>
  <c r="K32" i="16"/>
  <c r="U3" i="6" l="1"/>
  <c r="U6" i="6" s="1"/>
  <c r="C38" i="16" s="1"/>
  <c r="C41" i="16" s="1"/>
  <c r="I44" i="16" l="1"/>
  <c r="I51" i="16"/>
  <c r="I61" i="16" s="1"/>
  <c r="F73" i="16"/>
  <c r="Q6" i="6"/>
  <c r="I73" i="16"/>
  <c r="C64" i="16" l="1"/>
  <c r="F44" i="16"/>
  <c r="F51" i="16"/>
  <c r="I76" i="16"/>
  <c r="I78" i="16" s="1"/>
  <c r="F61" i="16" l="1"/>
  <c r="F76" i="16" s="1"/>
  <c r="F78" i="16" s="1"/>
  <c r="K38" i="16"/>
  <c r="C51" i="16"/>
  <c r="C61" i="16" s="1"/>
  <c r="K64" i="16"/>
  <c r="C73" i="16"/>
  <c r="K73" i="16" s="1"/>
  <c r="K41" i="16" l="1"/>
  <c r="C44" i="16"/>
  <c r="K44" i="16" s="1"/>
  <c r="K51" i="16"/>
  <c r="C76" i="16" l="1"/>
  <c r="K61" i="16"/>
  <c r="C78" i="16" l="1"/>
  <c r="K76" i="16"/>
  <c r="K78" i="16" s="1"/>
</calcChain>
</file>

<file path=xl/comments1.xml><?xml version="1.0" encoding="utf-8"?>
<comments xmlns="http://schemas.openxmlformats.org/spreadsheetml/2006/main">
  <authors>
    <author>Oliver, Patricia G</author>
    <author>Angier, Jon</author>
    <author>tc={A0A07BAA-71E8-4111-9B9C-8D26003BD8C4}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B5" authorId="1" shapeId="0">
      <text>
        <r>
          <rPr>
            <b/>
            <sz val="9"/>
            <color indexed="81"/>
            <rFont val="Tahoma"/>
            <charset val="1"/>
          </rPr>
          <t>Angier, Jon:</t>
        </r>
        <r>
          <rPr>
            <sz val="9"/>
            <color indexed="81"/>
            <rFont val="Tahoma"/>
            <charset val="1"/>
          </rPr>
          <t xml:space="preserve">
This is intended to gauge the increase in revenue/wRVUs in the event you are growing the specialty. The ramp % and volume wRVUs should reflect the date the new hire comes on and what you anticipate from the specialty with the addition of this provider. In the event that a position is a replacement position, then we would expect monthly wRVUs to remain relatively consistent with what we are seeing now. We would also expect wRVUs to remain consistent if a provider is being brought on to offload some of the work on existing providers</t>
        </r>
      </text>
    </comment>
    <comment ref="C13" authorId="2" shapeId="0">
      <text>
        <r>
          <rPr>
            <sz val="10"/>
            <rFont val="Arial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Provide any additional comments in this box.  Brevity is appreciated</t>
        </r>
      </text>
    </comment>
  </commentList>
</comments>
</file>

<file path=xl/comments2.xml><?xml version="1.0" encoding="utf-8"?>
<comments xmlns="http://schemas.openxmlformats.org/spreadsheetml/2006/main">
  <authors>
    <author>Oliver, Patricia G</author>
  </authors>
  <commentList>
    <comment ref="N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Appointment FTE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cFTE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Select Dept ID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Research effort (actual total effort = Research FTE)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pull in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pull in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Oliver, Patricia G: Select Specialty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Start Date of new faculty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Enter Base Salary which is included in the Faculty members offer letter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fully ramped up expected wRVU's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Supplement that is included in their offer letter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Anticipated peRVU's for a provider in a FP based clinic. (generally model off a current provider)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If applicable enter any surrogate wRVU's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additional duty pay anticipated.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research funding that is anticipated for this recruitment.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if applicable enter the % of time the provider spends in a FP based Out Patient clinic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ASA units if applicable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Incentive payment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This cell will calculate the Cost Share + benefits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Clinical drug cost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Ancipated receipts for a fully ramped up provider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Should automatically calculate benefits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state funding that is anticipated for this recruitment.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other expenses for this new provider including any special allocations (e.g. book and travel funding, other clinic expense)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UPL net of taxes if applicable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Malpractice expense (generally model off a similar provider)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salary and benefits associated with trust/contract trust funding that is anticipated for this recruitment.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Direct research expense that should be covered by Contracts and Grants.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hospital contract income for this provider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increase % for expenses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Non personnel expenses not covered by contracts and grants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 income being billed and collected to be deposited in the Clincial ledger (FP)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new cost associated with an APP if applicable.
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Startup funding for Faculty. Enter total amount (front loaded into year 1)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APP funding associated with this new provider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Research/lab staff salary and benefits (yearly amount)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Estimated start up expenses for the lab and other expenses for this new faculty members lab. Enter total amount.  (front loaded in year 1)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Include any anticipated state funding for this new Faculty member (eg Chair commitment)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 xml:space="preserve">Oliver, Patricia G:
</t>
        </r>
        <r>
          <rPr>
            <sz val="9"/>
            <color indexed="81"/>
            <rFont val="Tahoma"/>
            <family val="2"/>
          </rPr>
          <t>Anticipated PhD student salary and benefits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F&amp;A funding allocated and/or generated for this new Faculty member. Returned F&amp;A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any outside contracts and grants direct revenue for faculty member, annual amount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Professorship and/or trust funds associated with this new Faculty member (yearly amount)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Oliver, Patricia G:</t>
        </r>
        <r>
          <rPr>
            <sz val="9"/>
            <color indexed="81"/>
            <rFont val="Tahoma"/>
            <family val="2"/>
          </rPr>
          <t xml:space="preserve">
Enter anticipated startup funding allocated to this new Faculty member (front loaded to year 1, eg DO, OoR)</t>
        </r>
      </text>
    </comment>
  </commentList>
</comments>
</file>

<file path=xl/sharedStrings.xml><?xml version="1.0" encoding="utf-8"?>
<sst xmlns="http://schemas.openxmlformats.org/spreadsheetml/2006/main" count="1596" uniqueCount="424">
  <si>
    <t>Supplement</t>
  </si>
  <si>
    <t>Other</t>
  </si>
  <si>
    <t>Dean's Funds</t>
  </si>
  <si>
    <t>Enterprise Funds</t>
  </si>
  <si>
    <t>Contracts &amp; Grants</t>
  </si>
  <si>
    <t>Hospital Contracts</t>
  </si>
  <si>
    <t>Funding Source Types</t>
  </si>
  <si>
    <t>&lt;Select&gt;</t>
  </si>
  <si>
    <t>NOTES:</t>
  </si>
  <si>
    <t xml:space="preserve">1) </t>
  </si>
  <si>
    <t xml:space="preserve">2) </t>
  </si>
  <si>
    <t xml:space="preserve">3) </t>
  </si>
  <si>
    <t>Total</t>
  </si>
  <si>
    <t>External Dept</t>
  </si>
  <si>
    <t>Department Role</t>
  </si>
  <si>
    <t>Education Role</t>
  </si>
  <si>
    <t>Use this to indicate roles funded by 3-14801</t>
  </si>
  <si>
    <t>Use this to indicate roles funded by 3-14833</t>
  </si>
  <si>
    <t>If you use different parameters, be sure to change this note</t>
  </si>
  <si>
    <t>Instructions and internal Notes (do not print for distributed copy)</t>
  </si>
  <si>
    <t>wRVUs</t>
  </si>
  <si>
    <t>UCRF</t>
  </si>
  <si>
    <t>Appt FTE:</t>
  </si>
  <si>
    <t>Clinical FTE:</t>
  </si>
  <si>
    <t>UNC Faculty Physicians</t>
  </si>
  <si>
    <t>MGMA Specialty</t>
  </si>
  <si>
    <t>2015 wRVU Comp Median</t>
  </si>
  <si>
    <t>2016 wRVU Comp Median</t>
  </si>
  <si>
    <t>2017 wRVU Comp Median</t>
  </si>
  <si>
    <t>2018 MGMA wRVU Average</t>
  </si>
  <si>
    <t>2015 Provider Count</t>
  </si>
  <si>
    <t>2016 Provider Count</t>
  </si>
  <si>
    <t>2017 Provider Count</t>
  </si>
  <si>
    <t>2018 wRVU Provider Count Average</t>
  </si>
  <si>
    <t>2015 MGMA Comp Median</t>
  </si>
  <si>
    <t>2016 MGMA Comp Median</t>
  </si>
  <si>
    <t>2017 MGMA Comp Median</t>
  </si>
  <si>
    <t>2018 MGMA Comp Average</t>
  </si>
  <si>
    <t>2018 Comp Provider Count Average</t>
  </si>
  <si>
    <t>$ per wRVU</t>
  </si>
  <si>
    <t>Low N</t>
  </si>
  <si>
    <t>Count of UNCFP Providers</t>
  </si>
  <si>
    <t>Allergy/Immunology</t>
  </si>
  <si>
    <t>Anesthesiology</t>
  </si>
  <si>
    <t>Anesthesiology: Pain Management</t>
  </si>
  <si>
    <t>Cardiology: Electrophysiology</t>
  </si>
  <si>
    <t>Cardiology: Invasive</t>
  </si>
  <si>
    <t>Cardiology: Invasive-Interventional</t>
  </si>
  <si>
    <t>Cardiology: Noninvasive</t>
  </si>
  <si>
    <t>Critical Care: Intensivist</t>
  </si>
  <si>
    <t>Dermatology</t>
  </si>
  <si>
    <t>Dermatology: Dermatopathology</t>
  </si>
  <si>
    <t>*</t>
  </si>
  <si>
    <t>Dermatology: Mohs Surgery</t>
  </si>
  <si>
    <t>Emergency Medicine</t>
  </si>
  <si>
    <t>Endocrinology/Metabolism</t>
  </si>
  <si>
    <t>Family Medicine (with OB)</t>
  </si>
  <si>
    <t>Family Medicine (without OB)</t>
  </si>
  <si>
    <t>Family Medicine: Ambulatory Only (No Inpatient Work)</t>
  </si>
  <si>
    <t>Family Medicine: Sports Medicine</t>
  </si>
  <si>
    <t>Gastroenterology</t>
  </si>
  <si>
    <t>Gastroenterology: Hepatology</t>
  </si>
  <si>
    <t>Genetics</t>
  </si>
  <si>
    <t>`</t>
  </si>
  <si>
    <t>Geriatrics</t>
  </si>
  <si>
    <t>Hematology/Oncology</t>
  </si>
  <si>
    <t>Hematology/Oncology: Oncology (Only)</t>
  </si>
  <si>
    <t>Hospice/Palliative Care</t>
  </si>
  <si>
    <t>Hospitalist: Internal Medicine</t>
  </si>
  <si>
    <t>Infectious Disease</t>
  </si>
  <si>
    <t>Internal Medicine: Ambulatory Only (No Inpatient Work)</t>
  </si>
  <si>
    <t>Internal Medicine: General</t>
  </si>
  <si>
    <t>Nephrology</t>
  </si>
  <si>
    <t>Neurology</t>
  </si>
  <si>
    <t>Neurology: Epilepsy/EEG</t>
  </si>
  <si>
    <t>Neurology: Neuromuscular</t>
  </si>
  <si>
    <t>Neurology: Stroke Medicine</t>
  </si>
  <si>
    <t>OB/GYN: Gynecological Oncology</t>
  </si>
  <si>
    <t>OB/GYN: Gynecology (Only)</t>
  </si>
  <si>
    <t>OB/GYN: Maternal and Fetal Medicine</t>
  </si>
  <si>
    <t>OB/GYN: Reproductive Endocrinology</t>
  </si>
  <si>
    <t>OB/GYN: Urogynecology</t>
  </si>
  <si>
    <t>Obstetrics/Gynecology: General</t>
  </si>
  <si>
    <t>Ophthalmology</t>
  </si>
  <si>
    <t>Ophthalmology: Corneal and Refractive Surgery</t>
  </si>
  <si>
    <t>Ophthalmology: Glaucoma</t>
  </si>
  <si>
    <t>Ophthalmology: Neurology</t>
  </si>
  <si>
    <t>Ophthalmology: Oculoplastic and Recon Surgery</t>
  </si>
  <si>
    <t>Ophthalmology: Retina</t>
  </si>
  <si>
    <t>Orthopedic (Nonsurgical)</t>
  </si>
  <si>
    <t>Orthopedic Surgery: Foot and Ankle</t>
  </si>
  <si>
    <t>Orthopedic Surgery: General</t>
  </si>
  <si>
    <t>Orthopedic Surgery: Hand</t>
  </si>
  <si>
    <t>Orthopedic Surgery: Hip and Joint</t>
  </si>
  <si>
    <t>Orthopedic Surgery: Oncology</t>
  </si>
  <si>
    <t>Orthopedic Surgery: Shoulder/Elbow</t>
  </si>
  <si>
    <t>Orthopedic Surgery: Spine</t>
  </si>
  <si>
    <t>Orthopedic Surgery: Sports Medicine</t>
  </si>
  <si>
    <t>Orthopedic Surgery: Trauma</t>
  </si>
  <si>
    <t>Otorhinolaryngology</t>
  </si>
  <si>
    <t>Pathology: Anatomic</t>
  </si>
  <si>
    <t>Pathology: Anatomic and Clinical</t>
  </si>
  <si>
    <t>Pathology: Anatomic-Autopsy</t>
  </si>
  <si>
    <t>Pathology: Anatomic-Cytopathology</t>
  </si>
  <si>
    <t>Pathology: Anatomic-Neuropathology</t>
  </si>
  <si>
    <t>Pathology: Anatomic-Renal</t>
  </si>
  <si>
    <t>Pathology: Clinical</t>
  </si>
  <si>
    <t>Pathology: Clinical-Hematopathology</t>
  </si>
  <si>
    <t>Pathology: Surgical</t>
  </si>
  <si>
    <t>Pediatrics: Adolescent Medicine</t>
  </si>
  <si>
    <t>Pediatrics: Allergy/Immunology</t>
  </si>
  <si>
    <t>Pediatrics: Anesthesiology</t>
  </si>
  <si>
    <t>Pediatrics: Bone Marrow Transplant</t>
  </si>
  <si>
    <t>Pediatrics: Cardiology</t>
  </si>
  <si>
    <t>Pediatrics: Cardiovascular Surgery</t>
  </si>
  <si>
    <t>Pediatrics: Child Development</t>
  </si>
  <si>
    <t>Pediatrics: Critical Care/Intensivist</t>
  </si>
  <si>
    <t>Pediatrics: Dermatology</t>
  </si>
  <si>
    <t>Pediatrics: Emergency Medicine</t>
  </si>
  <si>
    <t>Pediatrics: Endocrinology</t>
  </si>
  <si>
    <t>Pediatrics: Gastroenterology</t>
  </si>
  <si>
    <t>Pediatrics: General</t>
  </si>
  <si>
    <t>Pediatrics: Genetics</t>
  </si>
  <si>
    <t>Pediatrics: Hematology/Oncology</t>
  </si>
  <si>
    <t>Pediatrics: Hospitalist</t>
  </si>
  <si>
    <t>Pediatrics: Hospitalist-Internal Medicine</t>
  </si>
  <si>
    <t>Pediatrics: Infectious Disease</t>
  </si>
  <si>
    <t>Pediatrics: Internal Medicine</t>
  </si>
  <si>
    <t>Pediatrics: Neonatal Medicine</t>
  </si>
  <si>
    <t>Pediatrics: Nephrology</t>
  </si>
  <si>
    <t>Pediatrics: Neurological Surgery</t>
  </si>
  <si>
    <t>Pediatrics: Neurology</t>
  </si>
  <si>
    <t>Pediatrics: Ophthalmology</t>
  </si>
  <si>
    <t>Pediatrics: Orthopedic Surgery</t>
  </si>
  <si>
    <t>Pediatrics: Otorhinolaryngology</t>
  </si>
  <si>
    <t>Pediatrics: Plastic and Reconstructive Surgery</t>
  </si>
  <si>
    <t>Pediatrics: Pulmonology</t>
  </si>
  <si>
    <t>Pediatrics: Radiology</t>
  </si>
  <si>
    <t>Pediatrics: Rheumatology</t>
  </si>
  <si>
    <t>Pediatrics: Surgery</t>
  </si>
  <si>
    <t>Pediatrics: Urgent Care</t>
  </si>
  <si>
    <t>Pediatrics: Urology</t>
  </si>
  <si>
    <t>Physiatry (Physical Medicine and Rehabilitation)</t>
  </si>
  <si>
    <t>Podiatry: General</t>
  </si>
  <si>
    <t>Psychiatry: Child and Adolescent</t>
  </si>
  <si>
    <t>Psychiatry: General</t>
  </si>
  <si>
    <t>Pulmonary Medicine: Critical Care</t>
  </si>
  <si>
    <t>Pulmonary Medicine: General</t>
  </si>
  <si>
    <t>Pulmonary Medicine: General and Critical Care</t>
  </si>
  <si>
    <t>Radiation Oncology</t>
  </si>
  <si>
    <t>Radiology: Diagnostic</t>
  </si>
  <si>
    <t>Radiology: Interventional</t>
  </si>
  <si>
    <t>Radiology: Neurological</t>
  </si>
  <si>
    <t>Radiology: Nuclear Medicine</t>
  </si>
  <si>
    <t>Rheumatology</t>
  </si>
  <si>
    <t>Sleep Medicine</t>
  </si>
  <si>
    <t>Surgery: Breast</t>
  </si>
  <si>
    <t>Surgery: Cardiovascular</t>
  </si>
  <si>
    <t>Surgery: Colon and Rectal</t>
  </si>
  <si>
    <t>Surgery: General</t>
  </si>
  <si>
    <t>Surgery: Neurological</t>
  </si>
  <si>
    <t>Surgery: Oncology</t>
  </si>
  <si>
    <t>Surgery: Oral</t>
  </si>
  <si>
    <t>Surgery: Plastic and Reconstruction</t>
  </si>
  <si>
    <t>Surgery: Plastic and Reconstruction-Hand</t>
  </si>
  <si>
    <t>Surgery: Thoracic (Primary)</t>
  </si>
  <si>
    <t>Surgery: Transplant</t>
  </si>
  <si>
    <t>Surgery: Transplant-Liver</t>
  </si>
  <si>
    <t>Surgery: Trauma</t>
  </si>
  <si>
    <t>Surgery: Trauma-Burn</t>
  </si>
  <si>
    <t>Surgery: Vascular (Primary)</t>
  </si>
  <si>
    <t>Urology</t>
  </si>
  <si>
    <t>Research</t>
  </si>
  <si>
    <t>Specialty</t>
  </si>
  <si>
    <t>Low N Replacement Used</t>
  </si>
  <si>
    <t>Pediatrics: Bone Marrow Transplan</t>
  </si>
  <si>
    <t>Not Used</t>
  </si>
  <si>
    <t>Department</t>
  </si>
  <si>
    <t>Family Medicine</t>
  </si>
  <si>
    <t>Medicine</t>
  </si>
  <si>
    <t>Neurosurgery</t>
  </si>
  <si>
    <t>Obstetrics Gynecology</t>
  </si>
  <si>
    <t>Orthopaedics</t>
  </si>
  <si>
    <t>Otolaryngology (Ent)</t>
  </si>
  <si>
    <t>Pathology Lab Med</t>
  </si>
  <si>
    <t>Pediatrics</t>
  </si>
  <si>
    <t>Physical Medicine Rehab</t>
  </si>
  <si>
    <t>Psychiatry</t>
  </si>
  <si>
    <t>Radiology</t>
  </si>
  <si>
    <t>Surgery</t>
  </si>
  <si>
    <t>&lt;Select Dept ID&gt;</t>
  </si>
  <si>
    <t>Check</t>
  </si>
  <si>
    <t>-</t>
  </si>
  <si>
    <t>Clinic Drug Costs</t>
  </si>
  <si>
    <t>FP will cover 100% of Physician Based clinic drug expenses - Input NEW clinics only HERE</t>
  </si>
  <si>
    <t>&lt;Y or N&gt;</t>
  </si>
  <si>
    <t>Y</t>
  </si>
  <si>
    <t>N</t>
  </si>
  <si>
    <t>Productivity Reimbursement</t>
  </si>
  <si>
    <t>Benefits Reimbursement</t>
  </si>
  <si>
    <t>Contract Tax</t>
  </si>
  <si>
    <t>Start Date</t>
  </si>
  <si>
    <t>Malpractice Expense</t>
  </si>
  <si>
    <t>Base Salary</t>
  </si>
  <si>
    <t>Additional Duties Pay</t>
  </si>
  <si>
    <t>Outside Contracts</t>
  </si>
  <si>
    <t>Impact to UNC Faculty Physicians</t>
  </si>
  <si>
    <t>Outside Contracts Income</t>
  </si>
  <si>
    <t>Impact to Department</t>
  </si>
  <si>
    <t>CONTRIBUTION / (DEFICIT) TO DEPARTMENT</t>
  </si>
  <si>
    <t>Outside Contract Tax</t>
  </si>
  <si>
    <t>YEAR 1</t>
  </si>
  <si>
    <t>YEAR 2</t>
  </si>
  <si>
    <t>YEAR 3</t>
  </si>
  <si>
    <t>Amount</t>
  </si>
  <si>
    <t>Fiscal Year End</t>
  </si>
  <si>
    <t>Hospital Contracts Income</t>
  </si>
  <si>
    <t>Revenue/Gain to FP</t>
  </si>
  <si>
    <t>Expense/Loss to FP</t>
  </si>
  <si>
    <t>Revenue/Gain to Department</t>
  </si>
  <si>
    <t>Expense/Loss to Department</t>
  </si>
  <si>
    <t>3 YEAR TOTAL</t>
  </si>
  <si>
    <t>Tax on Net Receipts</t>
  </si>
  <si>
    <t>Prorated Amount</t>
  </si>
  <si>
    <t>Fiscal Year Beginning</t>
  </si>
  <si>
    <t>Input needed</t>
  </si>
  <si>
    <t>Formula Driven</t>
  </si>
  <si>
    <t>KEY</t>
  </si>
  <si>
    <t>Faculty Proforma</t>
  </si>
  <si>
    <t>Incentives</t>
  </si>
  <si>
    <t>CONTRIBUTION / (DEFICIT) TO UNC FP</t>
  </si>
  <si>
    <t>Drug Reimbursement</t>
  </si>
  <si>
    <t>Annual Expense % +/-</t>
  </si>
  <si>
    <t>AMGA Otorhinolaryngology: Head &amp; Neck</t>
  </si>
  <si>
    <t>AMGA Pain Medicine - Non Anesthesiology</t>
  </si>
  <si>
    <t>$ per wRVU use in Model w/ Peds Bump</t>
  </si>
  <si>
    <t>Dept</t>
  </si>
  <si>
    <t>Survey</t>
  </si>
  <si>
    <t>PMT w/o Peds Boost</t>
  </si>
  <si>
    <t>PMT w/ Peds Boost</t>
  </si>
  <si>
    <t>FTEs</t>
  </si>
  <si>
    <t>Decision
(2 year term approval unless otherwise stated)</t>
  </si>
  <si>
    <t>Derm</t>
  </si>
  <si>
    <t>AMGA</t>
  </si>
  <si>
    <t>Approved</t>
  </si>
  <si>
    <t>x</t>
  </si>
  <si>
    <t>ENT</t>
  </si>
  <si>
    <t>MGMA</t>
  </si>
  <si>
    <t>Fam Med</t>
  </si>
  <si>
    <t>Med</t>
  </si>
  <si>
    <t>AAMC/FPSC</t>
  </si>
  <si>
    <t>Nephrology w/o Dialysis</t>
  </si>
  <si>
    <t>Ophth</t>
  </si>
  <si>
    <t>AUPO</t>
  </si>
  <si>
    <t>MGMA - low 'N'</t>
  </si>
  <si>
    <t>Ortho</t>
  </si>
  <si>
    <t>Orthopedic Oncology</t>
  </si>
  <si>
    <t>Path</t>
  </si>
  <si>
    <t>Peds</t>
  </si>
  <si>
    <t>PMR</t>
  </si>
  <si>
    <t>Surg</t>
  </si>
  <si>
    <t>Approved - 1 year term</t>
  </si>
  <si>
    <t>AAAP</t>
  </si>
  <si>
    <t>Approved w/ No Peds Boost</t>
  </si>
  <si>
    <t>NeuroSurg</t>
  </si>
  <si>
    <t>Denied</t>
  </si>
  <si>
    <t>Denied - Recommended to group with other Pathology Request</t>
  </si>
  <si>
    <t>Pending Follow-up on 9/24</t>
  </si>
  <si>
    <t>Change</t>
  </si>
  <si>
    <t>&lt;Select MGMA Specialty&gt;</t>
  </si>
  <si>
    <t>FP ADMIN &amp; DEPARTMENT TOTAL</t>
  </si>
  <si>
    <t>Total Salary/Benefits on Clinical Funds</t>
  </si>
  <si>
    <t>Select Department ID from cell A3</t>
  </si>
  <si>
    <t>Select MGMA Specialty here. Merged cell to left.</t>
  </si>
  <si>
    <t>Practice Expense Reimbursement</t>
  </si>
  <si>
    <t>Related to FP based clinic?</t>
  </si>
  <si>
    <t>Estimated Practice Expense RVUs</t>
  </si>
  <si>
    <t>Other expenses</t>
  </si>
  <si>
    <t>Expenses not covered by FP (ie. Miscellaneous supplies, travel, other clinic expenses, etc)</t>
  </si>
  <si>
    <t>Will this provider practice at an FP based clinic? Dropdown Yes or No.</t>
  </si>
  <si>
    <t>Hospitalist: Family Medicine</t>
  </si>
  <si>
    <t>Ophthalmology: Oculoplastic and Reconstructive Surgery</t>
  </si>
  <si>
    <t>Pain Management: Nonanesthesia</t>
  </si>
  <si>
    <t>Pathology: Clinical-Transfusion Medicine</t>
  </si>
  <si>
    <t>Pediatrics: Neurosurgery</t>
  </si>
  <si>
    <t>Pediatrics: Plastic and Reconstruction Surgery</t>
  </si>
  <si>
    <t>Psychiatry: Addiction Medicine</t>
  </si>
  <si>
    <t>Psychiatry: Geriatric</t>
  </si>
  <si>
    <t>Surgery: Bariatric</t>
  </si>
  <si>
    <t>Otolaryngology - Head and Neck Surgery</t>
  </si>
  <si>
    <t>Pain Management - Non-Anesthesiology</t>
  </si>
  <si>
    <t>Family Medicine: Ambulatory Only</t>
  </si>
  <si>
    <t>Hospitalist: Nocturnists</t>
  </si>
  <si>
    <t xml:space="preserve">Input estimated total number of practice expense RVUs for this provider. </t>
  </si>
  <si>
    <t>Practice expense RVUs*Net Receipt/Practice expense RVU ($37.88)*90%</t>
  </si>
  <si>
    <t>Input estimated % of outpatient peRVUs at FP based clinic.</t>
  </si>
  <si>
    <t>% of OP peRVUs at FP based clinic</t>
  </si>
  <si>
    <t>APP Net Receipts</t>
  </si>
  <si>
    <t>APP Salary/Benefits</t>
  </si>
  <si>
    <t>MD Net Receipts</t>
  </si>
  <si>
    <t>Non MD Allocation</t>
  </si>
  <si>
    <t>MGMA $/wRVU Value:</t>
  </si>
  <si>
    <t>MGMA $/ASA Value:</t>
  </si>
  <si>
    <t>Specialty level</t>
  </si>
  <si>
    <t>Rate with Peds Boost</t>
  </si>
  <si>
    <t>WRVU</t>
  </si>
  <si>
    <t>ASA</t>
  </si>
  <si>
    <t>Replacement Yes or No?</t>
  </si>
  <si>
    <t>Replacement Specialty</t>
  </si>
  <si>
    <t>Replacement Rate</t>
  </si>
  <si>
    <t>Final Rate</t>
  </si>
  <si>
    <t>Peds Boost?</t>
  </si>
  <si>
    <t>Yes</t>
  </si>
  <si>
    <t>No</t>
  </si>
  <si>
    <t>Calculated Plug</t>
  </si>
  <si>
    <t>AMGA Dermatopathology</t>
  </si>
  <si>
    <t>AUPO Ophth: Neurology</t>
  </si>
  <si>
    <t>MD wRVUs (fully ramped up)</t>
  </si>
  <si>
    <t>MD Surrogate wRVUs (fully ramped up)</t>
  </si>
  <si>
    <t>MD ASA Units (fully ramped up)</t>
  </si>
  <si>
    <t>MD Net Receipts (fully ramped up)</t>
  </si>
  <si>
    <t>APP Net Receipts (fully ramped up)</t>
  </si>
  <si>
    <t xml:space="preserve">Estimated Benefits at 30%. Do not change this cell. </t>
  </si>
  <si>
    <t>Ramp Up %</t>
  </si>
  <si>
    <t>MD wRVUs and Surrogate wRVUs</t>
  </si>
  <si>
    <t>MD ASA Units</t>
  </si>
  <si>
    <t>Benefit Expense on Total Salary</t>
  </si>
  <si>
    <t>MD Salary &amp; Benefits (prorated for Start Dates)</t>
  </si>
  <si>
    <t>Malpractice Expense (prorated for Start Dates)</t>
  </si>
  <si>
    <t>Productivity Reimbursement (prorated for Start Dates)</t>
  </si>
  <si>
    <t>MD Net Receipts (prorated for Start Dates)</t>
  </si>
  <si>
    <t>UPL (prorated for start dates)</t>
  </si>
  <si>
    <t>UPL Net of Taxes</t>
  </si>
  <si>
    <t>Clinical Funds (comp + benefits minus other sources of salary)</t>
  </si>
  <si>
    <t>Outside Contracts Income (on clinical funds)</t>
  </si>
  <si>
    <t>UPL (fully ramped up and already net of taxes)</t>
  </si>
  <si>
    <t>APP Salary &amp; Ben</t>
  </si>
  <si>
    <t>APP Salary &amp; Benefits (prorated for Start Dates)</t>
  </si>
  <si>
    <t>Are there any additional comments that the review committee should know about this new position?</t>
  </si>
  <si>
    <t>Volumes</t>
  </si>
  <si>
    <t>Staffing</t>
  </si>
  <si>
    <t>Month 2</t>
  </si>
  <si>
    <t>Month 3</t>
  </si>
  <si>
    <t>Month 4</t>
  </si>
  <si>
    <t>Month 5</t>
  </si>
  <si>
    <t>Month 6</t>
  </si>
  <si>
    <t>Percent</t>
  </si>
  <si>
    <t>Volume wRVUs</t>
  </si>
  <si>
    <r>
      <t xml:space="preserve">Do you need to hire additional clinic staff to support this provider? </t>
    </r>
    <r>
      <rPr>
        <i/>
        <sz val="10"/>
        <rFont val="Arial"/>
        <family val="2"/>
      </rPr>
      <t>(if yes, consider additional clinic staff costs in your proforma)</t>
    </r>
  </si>
  <si>
    <t>Current Month</t>
  </si>
  <si>
    <t>How many current providers do you have that can perform the same function/specialty?</t>
  </si>
  <si>
    <r>
      <t xml:space="preserve">How many scheduled weeks out is this specialty </t>
    </r>
    <r>
      <rPr>
        <i/>
        <sz val="10"/>
        <rFont val="Arial"/>
        <family val="2"/>
      </rPr>
      <t>(i.e. what is the backlog of this specialty)</t>
    </r>
    <r>
      <rPr>
        <sz val="10"/>
        <rFont val="Arial"/>
        <family val="2"/>
      </rPr>
      <t>?</t>
    </r>
  </si>
  <si>
    <t>Research FTE</t>
  </si>
  <si>
    <t>State Funding</t>
  </si>
  <si>
    <t>F&amp;A Funding</t>
  </si>
  <si>
    <r>
      <t xml:space="preserve">Contract &amp; Grant revenue </t>
    </r>
    <r>
      <rPr>
        <i/>
        <sz val="10"/>
        <rFont val="Arial"/>
        <family val="2"/>
      </rPr>
      <t>(Direct cost- full year)</t>
    </r>
  </si>
  <si>
    <r>
      <t xml:space="preserve">Trust Funds </t>
    </r>
    <r>
      <rPr>
        <i/>
        <sz val="10"/>
        <rFont val="Arial"/>
        <family val="2"/>
      </rPr>
      <t>(e.g. Professorship)</t>
    </r>
  </si>
  <si>
    <r>
      <t xml:space="preserve">Startup funding </t>
    </r>
    <r>
      <rPr>
        <i/>
        <sz val="10"/>
        <rFont val="Arial"/>
        <family val="2"/>
      </rPr>
      <t>(New Funding - total amount)</t>
    </r>
  </si>
  <si>
    <t>Research Staff ( salary and benefits)</t>
  </si>
  <si>
    <t>PhD students (salary, benefits &amp; tuition)</t>
  </si>
  <si>
    <t xml:space="preserve">Research </t>
  </si>
  <si>
    <t>NIH Cost Share</t>
  </si>
  <si>
    <t>Fringe Rate</t>
  </si>
  <si>
    <t>Estimated Fringe rate</t>
  </si>
  <si>
    <r>
      <t xml:space="preserve">Trust Funds </t>
    </r>
    <r>
      <rPr>
        <i/>
        <sz val="10"/>
        <rFont val="Arial"/>
        <family val="2"/>
      </rPr>
      <t>(Sal &amp; Ben)</t>
    </r>
  </si>
  <si>
    <r>
      <t xml:space="preserve">Other </t>
    </r>
    <r>
      <rPr>
        <i/>
        <sz val="10"/>
        <rFont val="Arial"/>
        <family val="2"/>
      </rPr>
      <t>(Sal &amp; Ben)</t>
    </r>
  </si>
  <si>
    <t>Direct non personnel charged to grants</t>
  </si>
  <si>
    <r>
      <t>Department/Other funded non personnel</t>
    </r>
    <r>
      <rPr>
        <i/>
        <sz val="10"/>
        <rFont val="Arial"/>
        <family val="2"/>
      </rPr>
      <t xml:space="preserve"> (e.g. lab &amp; faculty supplies)</t>
    </r>
  </si>
  <si>
    <t>Startup funding for Faculty</t>
  </si>
  <si>
    <t>Startup funding for lab</t>
  </si>
  <si>
    <r>
      <t>Research Funds</t>
    </r>
    <r>
      <rPr>
        <i/>
        <sz val="10"/>
        <rFont val="Arial"/>
        <family val="2"/>
      </rPr>
      <t xml:space="preserve"> (Sal &amp; Ben)</t>
    </r>
  </si>
  <si>
    <r>
      <t>Cost Share</t>
    </r>
    <r>
      <rPr>
        <i/>
        <sz val="10"/>
        <rFont val="Arial"/>
        <family val="2"/>
      </rPr>
      <t xml:space="preserve"> (Sal &amp; Ben)</t>
    </r>
  </si>
  <si>
    <r>
      <t xml:space="preserve">State Funds </t>
    </r>
    <r>
      <rPr>
        <i/>
        <sz val="10"/>
        <rFont val="Arial"/>
        <family val="2"/>
      </rPr>
      <t>(Sal &amp; Ben)</t>
    </r>
  </si>
  <si>
    <t>Trust Funds</t>
  </si>
  <si>
    <t>Startup Funding</t>
  </si>
  <si>
    <t>Contract and Grant Receipts</t>
  </si>
  <si>
    <t>Startup expenses</t>
  </si>
  <si>
    <t>Research Staff Salary &amp; Benefits (prorated for Start Dates)</t>
  </si>
  <si>
    <t>Research expenses</t>
  </si>
  <si>
    <t>Research Salary &amp; Ben</t>
  </si>
  <si>
    <t>Compensation Funding (total comp + benefits)</t>
  </si>
  <si>
    <r>
      <t>What is your anticipated ramp up over the next 4 - 6 months in this specialty?</t>
    </r>
    <r>
      <rPr>
        <i/>
        <sz val="10"/>
        <rFont val="Arial"/>
        <family val="2"/>
      </rPr>
      <t xml:space="preserve"> (example given)</t>
    </r>
  </si>
  <si>
    <t>Position Budgeted in FY21?</t>
  </si>
  <si>
    <t>Tenure Track</t>
  </si>
  <si>
    <t>Rank</t>
  </si>
  <si>
    <t>Term</t>
  </si>
  <si>
    <t>Open</t>
  </si>
  <si>
    <t>Fixed-Term</t>
  </si>
  <si>
    <t>Track</t>
  </si>
  <si>
    <t>Instructor</t>
  </si>
  <si>
    <t>Assistant</t>
  </si>
  <si>
    <t>Associate</t>
  </si>
  <si>
    <t>Professor</t>
  </si>
  <si>
    <t>&lt;-Drop Down</t>
  </si>
  <si>
    <t>Tenure</t>
  </si>
  <si>
    <t>Name of employee(s) proforma is modeled after</t>
  </si>
  <si>
    <t xml:space="preserve">Below is an example to add a new complex spine surgeon beginning 8/1/21. There are two other specialists who can perform these procedures (slow ramp for this specialty). So for August they are expecting the complex spine specialty to be at 70% of total wRVUs ( 1,991= wRVUs from the 2 current physicians + a portion of wRVUs expected from the added provider based on ramp).  So at 100% ramp, they are anticipating this specialty to produce around 2,850 wRVUs each month. </t>
  </si>
  <si>
    <t>Hospitalist: OB/GYN</t>
  </si>
  <si>
    <t>Pediatrics: Sports Medicine</t>
  </si>
  <si>
    <t>Psychiatry: Chemical Dependency</t>
  </si>
  <si>
    <t>Psychiatry: Forensic</t>
  </si>
  <si>
    <t>Surgery: Endocrine</t>
  </si>
  <si>
    <t>Surgery: Endovascular (Primary)</t>
  </si>
  <si>
    <t>Surgery: Transplant-Heart</t>
  </si>
  <si>
    <t>Surgery: Transplant-Kidney</t>
  </si>
  <si>
    <t>Urgent Care</t>
  </si>
  <si>
    <t>AMGA Dermatology: Mohs Surgery</t>
  </si>
  <si>
    <t>AUPO Ophth: Oculoplastic and Recon Surgery</t>
  </si>
  <si>
    <t>Replacement Rate AMGA</t>
  </si>
  <si>
    <t>Replacement Rate AAMC/FPSC</t>
  </si>
  <si>
    <t>Neurointensivisit/Neuro Critical Care (AMGA)</t>
  </si>
  <si>
    <t>Nephrology w/o Dialysis (AAMC/FPSC)</t>
  </si>
  <si>
    <t>Nocturnists (AMGA)</t>
  </si>
  <si>
    <t>Pain Management - Non-Anesthesiology (AMGA)</t>
  </si>
  <si>
    <t>Palliative Care (AMGA)</t>
  </si>
  <si>
    <t>AAAP Pediatrics Dermatology</t>
  </si>
  <si>
    <t>AMGA Pediatrics Neurosurgery</t>
  </si>
  <si>
    <t>AAAP Pediatrics Bone Marrow Transplant</t>
  </si>
  <si>
    <t>Medical Malpractice Expense</t>
  </si>
  <si>
    <t>Fiscal Year 2022</t>
  </si>
  <si>
    <t>State Funds Income</t>
  </si>
  <si>
    <t>Contracts and Grants Receipts</t>
  </si>
  <si>
    <t>Example</t>
  </si>
  <si>
    <t>MGMA FY23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</si>
</sst>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.00"/>
    <numFmt numFmtId="168" formatCode="0;[Red]0"/>
    <numFmt numFmtId="169" formatCode="yyyy"/>
    <numFmt numFmtId="170" formatCode="0.000_)"/>
    <numFmt numFmtId="171" formatCode="_ * #,##0.00_)&quot;£&quot;_ ;_ * \(#,##0.00\)&quot;£&quot;_ ;_ * &quot;-&quot;??_)&quot;£&quot;_ ;_ @_ "/>
    <numFmt numFmtId="172" formatCode="#,##0\ &quot;F&quot;;\-#,##0\ &quot;F&quot;"/>
    <numFmt numFmtId="173" formatCode="_ * #,##0_)_£_ ;_ * \(#,##0\)_£_ ;_ * &quot;-&quot;_)_£_ ;_ @_ "/>
    <numFmt numFmtId="174" formatCode="_ * #,##0.00_)_£_ ;_ * \(#,##0.00\)_£_ ;_ * &quot;-&quot;??_)_£_ ;_ @_ "/>
    <numFmt numFmtId="175" formatCode="#,##0.00&quot;£&quot;_);\(#,##0.00&quot;£&quot;\)"/>
    <numFmt numFmtId="176" formatCode="_ * #,##0_)&quot;£&quot;_ ;_ * \(#,##0\)&quot;£&quot;_ ;_ * &quot;-&quot;_)&quot;£&quot;_ ;_ @_ "/>
    <numFmt numFmtId="177" formatCode="0.0000####"/>
    <numFmt numFmtId="178" formatCode="#,##0.000"/>
    <numFmt numFmtId="179" formatCode="#,##0.0000"/>
    <numFmt numFmtId="180" formatCode="_(* #,##0_);_(* \(#,##0\);_(* &quot;-&quot;??_);_(@_)"/>
    <numFmt numFmtId="181" formatCode="_(* #,##0.00000_);_(* \(#,##0.00000\);_(* &quot;-&quot;_);_(@_)"/>
    <numFmt numFmtId="182" formatCode="_(* #,##0.00_);_(* \(#,##0.00\);_(* &quot;-&quot;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6"/>
      <color indexed="56"/>
      <name val="Arial"/>
      <family val="2"/>
    </font>
    <font>
      <b/>
      <i/>
      <sz val="12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rgb="FF4C4C4C"/>
      <name val="'segoe ui'"/>
      <family val="2"/>
    </font>
    <font>
      <sz val="10"/>
      <color rgb="FF4C4C4C"/>
      <name val="'segoe ui'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12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sz val="12"/>
      <name val="Helv"/>
    </font>
    <font>
      <i/>
      <sz val="10"/>
      <color indexed="10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MS Sans Serif"/>
      <family val="2"/>
    </font>
    <font>
      <b/>
      <sz val="8"/>
      <name val="Arial"/>
      <family val="2"/>
    </font>
    <font>
      <sz val="11"/>
      <name val="Tms Rmn"/>
      <family val="1"/>
    </font>
    <font>
      <b/>
      <sz val="12"/>
      <name val="Arial"/>
      <family val="2"/>
    </font>
    <font>
      <sz val="7"/>
      <name val="Small Fonts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rgb="FF000000"/>
      <name val="Arial"/>
      <family val="2"/>
    </font>
    <font>
      <b/>
      <sz val="11"/>
      <color indexed="63"/>
      <name val="Calibri"/>
      <family val="2"/>
    </font>
    <font>
      <b/>
      <sz val="14"/>
      <color indexed="63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sz val="12"/>
      <color theme="1"/>
      <name val="Calibri"/>
      <family val="2"/>
      <charset val="128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B050"/>
      <name val="Arial"/>
      <family val="2"/>
    </font>
    <font>
      <strike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i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ED0D5"/>
        <bgColor indexed="64"/>
      </patternFill>
    </fill>
    <fill>
      <patternFill patternType="solid">
        <fgColor rgb="FFE8E9EB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 style="thin">
        <color indexed="64"/>
      </bottom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88">
    <xf numFmtId="0" fontId="0" fillId="0" borderId="0"/>
    <xf numFmtId="8" fontId="13" fillId="0" borderId="0" applyFont="0" applyFill="0" applyBorder="0" applyAlignment="0" applyProtection="0"/>
    <xf numFmtId="0" fontId="13" fillId="0" borderId="0"/>
    <xf numFmtId="9" fontId="24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0" fontId="10" fillId="0" borderId="0"/>
    <xf numFmtId="9" fontId="10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/>
    <xf numFmtId="0" fontId="39" fillId="0" borderId="0"/>
    <xf numFmtId="0" fontId="4" fillId="0" borderId="0"/>
    <xf numFmtId="41" fontId="12" fillId="0" borderId="0"/>
    <xf numFmtId="41" fontId="12" fillId="0" borderId="0"/>
    <xf numFmtId="41" fontId="12" fillId="0" borderId="0"/>
    <xf numFmtId="37" fontId="40" fillId="25" borderId="0" applyNumberFormat="0">
      <protection locked="0"/>
    </xf>
    <xf numFmtId="3" fontId="12" fillId="0" borderId="0"/>
    <xf numFmtId="3" fontId="12" fillId="0" borderId="0"/>
    <xf numFmtId="3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26" fillId="0" borderId="0"/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0" fontId="41" fillId="26" borderId="13" applyAlignment="0">
      <alignment horizontal="right"/>
      <protection locked="0"/>
    </xf>
    <xf numFmtId="0" fontId="42" fillId="27" borderId="0">
      <alignment horizontal="right"/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4" fillId="0" borderId="0">
      <protection locked="0"/>
    </xf>
    <xf numFmtId="2" fontId="42" fillId="27" borderId="0">
      <alignment horizontal="right"/>
      <protection locked="0"/>
    </xf>
    <xf numFmtId="167" fontId="43" fillId="0" borderId="0">
      <protection locked="0"/>
    </xf>
    <xf numFmtId="168" fontId="45" fillId="0" borderId="0" applyBorder="0">
      <alignment horizontal="left" vertical="top"/>
    </xf>
    <xf numFmtId="0" fontId="46" fillId="0" borderId="0">
      <protection locked="0"/>
    </xf>
    <xf numFmtId="0" fontId="46" fillId="0" borderId="0"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40" fontId="48" fillId="24" borderId="33">
      <protection locked="0"/>
    </xf>
    <xf numFmtId="3" fontId="49" fillId="28" borderId="0">
      <protection locked="0"/>
    </xf>
    <xf numFmtId="4" fontId="49" fillId="28" borderId="0">
      <protection locked="0"/>
    </xf>
    <xf numFmtId="41" fontId="50" fillId="29" borderId="0" applyNumberFormat="0" applyBorder="0">
      <alignment horizontal="center" vertical="top"/>
    </xf>
    <xf numFmtId="0" fontId="15" fillId="30" borderId="0">
      <alignment horizontal="left"/>
    </xf>
    <xf numFmtId="0" fontId="51" fillId="28" borderId="0"/>
    <xf numFmtId="0" fontId="51" fillId="28" borderId="0"/>
    <xf numFmtId="0" fontId="51" fillId="28" borderId="0"/>
    <xf numFmtId="43" fontId="1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4" fontId="53" fillId="0" borderId="0" applyNumberFormat="0"/>
    <xf numFmtId="40" fontId="54" fillId="2" borderId="0" applyBorder="0">
      <alignment horizontal="right"/>
    </xf>
    <xf numFmtId="20" fontId="55" fillId="2" borderId="0" applyBorder="0">
      <alignment horizontal="center"/>
    </xf>
    <xf numFmtId="0" fontId="56" fillId="2" borderId="31" applyBorder="0"/>
    <xf numFmtId="0" fontId="56" fillId="0" borderId="0" applyBorder="0">
      <alignment horizontal="centerContinuous"/>
    </xf>
    <xf numFmtId="0" fontId="57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41" fontId="49" fillId="31" borderId="0" applyNumberFormat="0" applyBorder="0">
      <alignment horizontal="center"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0" fontId="13" fillId="0" borderId="0" applyNumberFormat="0" applyFont="0" applyFill="0" applyBorder="0" applyAlignment="0" applyProtection="0">
      <alignment horizontal="left"/>
    </xf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58" fillId="0" borderId="19">
      <alignment horizontal="center"/>
    </xf>
    <xf numFmtId="0" fontId="58" fillId="0" borderId="19">
      <alignment horizontal="center"/>
    </xf>
    <xf numFmtId="0" fontId="58" fillId="0" borderId="19">
      <alignment horizontal="center"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41" fontId="50" fillId="33" borderId="0" applyNumberFormat="0" applyBorder="0">
      <alignment horizontal="center" vertical="top"/>
    </xf>
    <xf numFmtId="49" fontId="11" fillId="0" borderId="0">
      <alignment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69" fontId="12" fillId="0" borderId="0">
      <alignment horizontal="center" vertical="top"/>
    </xf>
    <xf numFmtId="17" fontId="16" fillId="0" borderId="0" applyBorder="0">
      <alignment horizontal="center" vertical="top"/>
    </xf>
    <xf numFmtId="1" fontId="13" fillId="0" borderId="0"/>
    <xf numFmtId="5" fontId="58" fillId="0" borderId="30" applyAlignment="0" applyProtection="0"/>
    <xf numFmtId="0" fontId="59" fillId="0" borderId="32">
      <alignment horizontal="center"/>
    </xf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170" fontId="60" fillId="0" borderId="0"/>
    <xf numFmtId="3" fontId="12" fillId="0" borderId="0" applyFont="0" applyFill="0" applyBorder="0" applyAlignment="0" applyProtection="0"/>
    <xf numFmtId="37" fontId="12" fillId="0" borderId="0" applyBorder="0">
      <alignment horizontal="left" vertical="top"/>
      <protection locked="0"/>
    </xf>
    <xf numFmtId="37" fontId="12" fillId="0" borderId="0" applyBorder="0">
      <alignment horizontal="left" vertical="top"/>
      <protection locked="0"/>
    </xf>
    <xf numFmtId="5" fontId="12" fillId="0" borderId="0" applyFont="0" applyFill="0" applyBorder="0" applyAlignment="0" applyProtection="0"/>
    <xf numFmtId="38" fontId="51" fillId="28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7">
      <alignment horizontal="left"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10" fontId="51" fillId="31" borderId="29" applyNumberFormat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37" fontId="62" fillId="0" borderId="0"/>
    <xf numFmtId="0" fontId="4" fillId="0" borderId="0"/>
    <xf numFmtId="0" fontId="12" fillId="0" borderId="0"/>
    <xf numFmtId="0" fontId="12" fillId="0" borderId="0"/>
    <xf numFmtId="37" fontId="63" fillId="2" borderId="0" applyFill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37" fillId="8" borderId="27" applyNumberFormat="0" applyFont="0" applyAlignment="0" applyProtection="0"/>
    <xf numFmtId="0" fontId="37" fillId="8" borderId="27" applyNumberFormat="0" applyFont="0" applyAlignment="0" applyProtection="0"/>
    <xf numFmtId="0" fontId="37" fillId="8" borderId="27" applyNumberFormat="0" applyFont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69" fontId="12" fillId="0" borderId="0">
      <alignment horizontal="center" vertical="top"/>
    </xf>
    <xf numFmtId="169" fontId="12" fillId="0" borderId="0">
      <alignment horizontal="center" vertical="top"/>
    </xf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0" fontId="25" fillId="0" borderId="28" applyNumberFormat="0" applyFill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0" fontId="4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" fillId="12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13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4" fillId="1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4" fillId="2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" fillId="14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4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4" fillId="22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11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36" fillId="15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6" fillId="19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36" fillId="21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36" fillId="23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36" fillId="9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36" fillId="16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4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65" fillId="47" borderId="0" applyNumberFormat="0" applyBorder="0" applyAlignment="0" applyProtection="0"/>
    <xf numFmtId="0" fontId="35" fillId="7" borderId="25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7" fillId="0" borderId="0" applyFill="0" applyBorder="0" applyProtection="0">
      <alignment horizontal="center"/>
      <protection locked="0"/>
    </xf>
    <xf numFmtId="0" fontId="68" fillId="48" borderId="35" applyNumberFormat="0" applyAlignment="0" applyProtection="0"/>
    <xf numFmtId="0" fontId="68" fillId="48" borderId="35" applyNumberFormat="0" applyAlignment="0" applyProtection="0"/>
    <xf numFmtId="0" fontId="68" fillId="48" borderId="35" applyNumberFormat="0" applyAlignment="0" applyProtection="0"/>
    <xf numFmtId="0" fontId="68" fillId="48" borderId="35" applyNumberFormat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69" fillId="0" borderId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3" fillId="0" borderId="0">
      <protection locked="0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7" fontId="43" fillId="0" borderId="0">
      <protection locked="0"/>
    </xf>
    <xf numFmtId="177" fontId="12" fillId="0" borderId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1" fillId="38" borderId="0" applyNumberFormat="0" applyBorder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33" fillId="0" borderId="24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7" fillId="0" borderId="0" applyFill="0" applyAlignment="0" applyProtection="0">
      <protection locked="0"/>
    </xf>
    <xf numFmtId="0" fontId="67" fillId="0" borderId="13" applyFill="0" applyAlignment="0" applyProtection="0">
      <protection locked="0"/>
    </xf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77" fillId="39" borderId="0" applyNumberFormat="0" applyBorder="0" applyAlignment="0" applyProtection="0"/>
    <xf numFmtId="0" fontId="5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78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78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34" fillId="7" borderId="26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9" fontId="51" fillId="0" borderId="0" applyFill="0" applyBorder="0" applyAlignment="0" applyProtection="0"/>
    <xf numFmtId="0" fontId="80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81" fillId="0" borderId="13" applyNumberFormat="0" applyFill="0" applyProtection="0">
      <alignment horizontal="center" wrapText="1"/>
    </xf>
    <xf numFmtId="0" fontId="81" fillId="0" borderId="13" applyNumberFormat="0" applyFill="0" applyProtection="0">
      <alignment horizontal="center"/>
    </xf>
    <xf numFmtId="3" fontId="51" fillId="0" borderId="0" applyFill="0" applyBorder="0" applyAlignment="0" applyProtection="0"/>
    <xf numFmtId="4" fontId="51" fillId="0" borderId="0" applyFill="0" applyBorder="0" applyAlignment="0" applyProtection="0"/>
    <xf numFmtId="5" fontId="51" fillId="0" borderId="0" applyFill="0" applyBorder="0" applyAlignment="0" applyProtection="0"/>
    <xf numFmtId="178" fontId="51" fillId="0" borderId="0" applyFill="0" applyBorder="0" applyAlignment="0" applyProtection="0"/>
    <xf numFmtId="179" fontId="51" fillId="0" borderId="0" applyFill="0" applyBorder="0" applyAlignment="0" applyProtection="0"/>
    <xf numFmtId="10" fontId="51" fillId="0" borderId="0" applyFill="0" applyBorder="0" applyProtection="0">
      <alignment horizontal="right"/>
    </xf>
    <xf numFmtId="0" fontId="3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25" fillId="0" borderId="28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0" fontId="83" fillId="0" borderId="0"/>
    <xf numFmtId="43" fontId="83" fillId="0" borderId="0" applyFont="0" applyFill="0" applyBorder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1" fillId="0" borderId="43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43">
      <alignment horizontal="left" vertical="center"/>
    </xf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5" fontId="58" fillId="0" borderId="3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58" fillId="0" borderId="19">
      <alignment horizontal="center"/>
    </xf>
    <xf numFmtId="0" fontId="58" fillId="0" borderId="19">
      <alignment horizont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1" fillId="0" borderId="17">
      <alignment horizontal="left" vertical="center"/>
    </xf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66" fillId="30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75" fillId="39" borderId="34" applyNumberForma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12" fillId="36" borderId="40" applyNumberFormat="0" applyFon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79" fillId="30" borderId="41" applyNumberFormat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4" fillId="0" borderId="0"/>
    <xf numFmtId="43" fontId="84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38" fontId="11" fillId="2" borderId="0" xfId="2" applyNumberFormat="1" applyFont="1" applyFill="1" applyBorder="1" applyProtection="1"/>
    <xf numFmtId="0" fontId="17" fillId="2" borderId="0" xfId="2" applyFont="1" applyFill="1" applyBorder="1" applyProtection="1"/>
    <xf numFmtId="0" fontId="11" fillId="2" borderId="0" xfId="2" applyFont="1" applyFill="1" applyBorder="1" applyProtection="1"/>
    <xf numFmtId="38" fontId="14" fillId="2" borderId="0" xfId="2" quotePrefix="1" applyNumberFormat="1" applyFont="1" applyFill="1" applyBorder="1" applyAlignment="1" applyProtection="1">
      <alignment horizontal="right"/>
    </xf>
    <xf numFmtId="0" fontId="23" fillId="0" borderId="0" xfId="0" applyFont="1"/>
    <xf numFmtId="0" fontId="23" fillId="2" borderId="0" xfId="2" applyFont="1" applyFill="1" applyBorder="1" applyAlignment="1" applyProtection="1">
      <alignment horizontal="left"/>
    </xf>
    <xf numFmtId="9" fontId="12" fillId="2" borderId="0" xfId="2" applyNumberFormat="1" applyFont="1" applyFill="1" applyBorder="1" applyAlignment="1" applyProtection="1">
      <alignment horizontal="center"/>
    </xf>
    <xf numFmtId="0" fontId="17" fillId="4" borderId="0" xfId="2" applyFont="1" applyFill="1" applyBorder="1" applyProtection="1"/>
    <xf numFmtId="0" fontId="17" fillId="4" borderId="0" xfId="2" applyFont="1" applyFill="1" applyBorder="1" applyAlignment="1" applyProtection="1">
      <alignment horizontal="left"/>
    </xf>
    <xf numFmtId="0" fontId="12" fillId="2" borderId="0" xfId="2" applyFont="1" applyFill="1" applyBorder="1" applyAlignment="1" applyProtection="1">
      <alignment horizontal="left"/>
    </xf>
    <xf numFmtId="0" fontId="22" fillId="2" borderId="0" xfId="2" applyFont="1" applyFill="1" applyBorder="1" applyAlignment="1" applyProtection="1">
      <protection locked="0"/>
    </xf>
    <xf numFmtId="0" fontId="11" fillId="2" borderId="0" xfId="2" applyFont="1" applyFill="1" applyBorder="1" applyAlignment="1" applyProtection="1">
      <alignment horizontal="right"/>
      <protection locked="0"/>
    </xf>
    <xf numFmtId="0" fontId="12" fillId="0" borderId="0" xfId="0" applyFont="1"/>
    <xf numFmtId="0" fontId="28" fillId="0" borderId="0" xfId="4" applyFont="1" applyFill="1" applyBorder="1" applyAlignment="1">
      <alignment horizontal="left" wrapText="1"/>
    </xf>
    <xf numFmtId="0" fontId="25" fillId="0" borderId="0" xfId="53" applyFont="1" applyAlignment="1">
      <alignment horizontal="center" wrapText="1"/>
    </xf>
    <xf numFmtId="0" fontId="25" fillId="0" borderId="0" xfId="53" applyFont="1" applyFill="1" applyAlignment="1">
      <alignment horizontal="center" wrapText="1"/>
    </xf>
    <xf numFmtId="2" fontId="25" fillId="6" borderId="0" xfId="53" applyNumberFormat="1" applyFont="1" applyFill="1" applyAlignment="1">
      <alignment horizontal="center" wrapText="1"/>
    </xf>
    <xf numFmtId="0" fontId="28" fillId="0" borderId="0" xfId="4" applyFont="1" applyFill="1" applyAlignment="1">
      <alignment horizontal="center" wrapText="1"/>
    </xf>
    <xf numFmtId="165" fontId="25" fillId="0" borderId="0" xfId="53" applyNumberFormat="1" applyFont="1" applyAlignment="1">
      <alignment horizontal="center" wrapText="1"/>
    </xf>
    <xf numFmtId="165" fontId="25" fillId="0" borderId="0" xfId="53" applyNumberFormat="1" applyFont="1" applyFill="1" applyAlignment="1">
      <alignment horizontal="center" wrapText="1"/>
    </xf>
    <xf numFmtId="165" fontId="25" fillId="6" borderId="0" xfId="53" applyNumberFormat="1" applyFont="1" applyFill="1" applyAlignment="1">
      <alignment horizontal="center" wrapText="1"/>
    </xf>
    <xf numFmtId="0" fontId="5" fillId="0" borderId="0" xfId="53"/>
    <xf numFmtId="0" fontId="29" fillId="0" borderId="0" xfId="4" applyFont="1" applyFill="1" applyBorder="1" applyAlignment="1">
      <alignment horizontal="left"/>
    </xf>
    <xf numFmtId="0" fontId="5" fillId="0" borderId="0" xfId="53" applyAlignment="1">
      <alignment horizontal="center"/>
    </xf>
    <xf numFmtId="2" fontId="5" fillId="0" borderId="0" xfId="53" applyNumberFormat="1" applyAlignment="1">
      <alignment horizontal="center"/>
    </xf>
    <xf numFmtId="0" fontId="5" fillId="0" borderId="0" xfId="53" applyNumberFormat="1" applyAlignment="1">
      <alignment horizontal="center"/>
    </xf>
    <xf numFmtId="2" fontId="0" fillId="0" borderId="0" xfId="54" applyNumberFormat="1" applyFont="1" applyAlignment="1">
      <alignment horizontal="center"/>
    </xf>
    <xf numFmtId="0" fontId="29" fillId="0" borderId="0" xfId="4" applyFont="1" applyFill="1" applyAlignment="1">
      <alignment horizontal="left"/>
    </xf>
    <xf numFmtId="165" fontId="5" fillId="0" borderId="0" xfId="53" applyNumberFormat="1" applyAlignment="1">
      <alignment horizontal="center"/>
    </xf>
    <xf numFmtId="166" fontId="5" fillId="0" borderId="0" xfId="53" applyNumberFormat="1"/>
    <xf numFmtId="43" fontId="0" fillId="0" borderId="0" xfId="54" applyFont="1"/>
    <xf numFmtId="0" fontId="5" fillId="0" borderId="0" xfId="53" applyFill="1"/>
    <xf numFmtId="0" fontId="5" fillId="0" borderId="0" xfId="53" applyAlignment="1">
      <alignment horizontal="left"/>
    </xf>
    <xf numFmtId="0" fontId="5" fillId="0" borderId="0" xfId="53" applyNumberFormat="1"/>
    <xf numFmtId="0" fontId="25" fillId="0" borderId="21" xfId="53" applyFont="1" applyBorder="1"/>
    <xf numFmtId="0" fontId="25" fillId="6" borderId="21" xfId="53" applyFont="1" applyFill="1" applyBorder="1"/>
    <xf numFmtId="0" fontId="25" fillId="0" borderId="21" xfId="53" applyFont="1" applyFill="1" applyBorder="1"/>
    <xf numFmtId="0" fontId="25" fillId="0" borderId="17" xfId="0" applyFont="1" applyBorder="1"/>
    <xf numFmtId="0" fontId="0" fillId="0" borderId="0" xfId="0" applyFill="1"/>
    <xf numFmtId="0" fontId="0" fillId="0" borderId="0" xfId="0" applyFill="1" applyBorder="1"/>
    <xf numFmtId="1" fontId="0" fillId="0" borderId="0" xfId="0" applyNumberFormat="1" applyFill="1"/>
    <xf numFmtId="43" fontId="5" fillId="0" borderId="0" xfId="53" applyNumberFormat="1"/>
    <xf numFmtId="44" fontId="0" fillId="0" borderId="0" xfId="52" applyFont="1"/>
    <xf numFmtId="37" fontId="12" fillId="3" borderId="0" xfId="2" applyNumberFormat="1" applyFont="1" applyFill="1" applyBorder="1" applyProtection="1">
      <protection locked="0"/>
    </xf>
    <xf numFmtId="38" fontId="11" fillId="2" borderId="0" xfId="2" applyNumberFormat="1" applyFont="1" applyFill="1" applyBorder="1" applyAlignment="1" applyProtection="1">
      <alignment horizontal="center"/>
    </xf>
    <xf numFmtId="14" fontId="0" fillId="0" borderId="46" xfId="0" applyNumberFormat="1" applyBorder="1"/>
    <xf numFmtId="0" fontId="12" fillId="0" borderId="49" xfId="0" applyFont="1" applyBorder="1"/>
    <xf numFmtId="0" fontId="0" fillId="0" borderId="50" xfId="0" applyBorder="1"/>
    <xf numFmtId="43" fontId="0" fillId="0" borderId="48" xfId="1883" applyFont="1" applyBorder="1"/>
    <xf numFmtId="180" fontId="0" fillId="0" borderId="10" xfId="1883" applyNumberFormat="1" applyFont="1" applyBorder="1"/>
    <xf numFmtId="180" fontId="0" fillId="0" borderId="48" xfId="1883" applyNumberFormat="1" applyFont="1" applyBorder="1"/>
    <xf numFmtId="37" fontId="12" fillId="50" borderId="47" xfId="2" applyNumberFormat="1" applyFont="1" applyFill="1" applyBorder="1" applyProtection="1">
      <protection locked="0"/>
    </xf>
    <xf numFmtId="37" fontId="12" fillId="50" borderId="50" xfId="2" applyNumberFormat="1" applyFont="1" applyFill="1" applyBorder="1" applyProtection="1">
      <protection locked="0"/>
    </xf>
    <xf numFmtId="0" fontId="85" fillId="6" borderId="0" xfId="0" applyFont="1" applyFill="1" applyAlignment="1">
      <alignment horizontal="center" vertical="center" wrapText="1"/>
    </xf>
    <xf numFmtId="0" fontId="67" fillId="52" borderId="52" xfId="1884" quotePrefix="1" applyFont="1" applyFill="1" applyBorder="1" applyAlignment="1">
      <alignment horizontal="center" vertical="center" wrapText="1" readingOrder="1"/>
    </xf>
    <xf numFmtId="0" fontId="67" fillId="52" borderId="52" xfId="1884" applyFont="1" applyFill="1" applyBorder="1" applyAlignment="1">
      <alignment horizontal="center" vertical="center" wrapText="1" readingOrder="1"/>
    </xf>
    <xf numFmtId="0" fontId="67" fillId="52" borderId="52" xfId="1884" applyFont="1" applyFill="1" applyBorder="1" applyAlignment="1">
      <alignment horizontal="center" vertical="center" wrapText="1"/>
    </xf>
    <xf numFmtId="0" fontId="3" fillId="0" borderId="0" xfId="1884" applyBorder="1"/>
    <xf numFmtId="0" fontId="86" fillId="53" borderId="0" xfId="1884" applyFont="1" applyFill="1" applyBorder="1" applyAlignment="1">
      <alignment horizontal="left" vertical="center" wrapText="1" readingOrder="1"/>
    </xf>
    <xf numFmtId="0" fontId="86" fillId="53" borderId="0" xfId="1884" applyFont="1" applyFill="1" applyBorder="1" applyAlignment="1">
      <alignment horizontal="left" vertical="center" wrapText="1"/>
    </xf>
    <xf numFmtId="8" fontId="86" fillId="53" borderId="0" xfId="1884" applyNumberFormat="1" applyFont="1" applyFill="1" applyBorder="1" applyAlignment="1">
      <alignment horizontal="right" vertical="center" wrapText="1" indent="1" readingOrder="1"/>
    </xf>
    <xf numFmtId="0" fontId="86" fillId="53" borderId="0" xfId="1884" applyFont="1" applyFill="1" applyBorder="1" applyAlignment="1">
      <alignment horizontal="right" vertical="center" wrapText="1" indent="1" readingOrder="1"/>
    </xf>
    <xf numFmtId="3" fontId="86" fillId="53" borderId="0" xfId="1884" applyNumberFormat="1" applyFont="1" applyFill="1" applyBorder="1" applyAlignment="1">
      <alignment horizontal="right" vertical="center" wrapText="1" indent="1" readingOrder="1"/>
    </xf>
    <xf numFmtId="0" fontId="87" fillId="53" borderId="0" xfId="1884" applyFont="1" applyFill="1" applyBorder="1" applyAlignment="1">
      <alignment horizontal="left" vertical="center" wrapText="1" readingOrder="1"/>
    </xf>
    <xf numFmtId="0" fontId="86" fillId="54" borderId="0" xfId="1884" applyFont="1" applyFill="1" applyBorder="1" applyAlignment="1">
      <alignment horizontal="left" vertical="center" wrapText="1" readingOrder="1"/>
    </xf>
    <xf numFmtId="0" fontId="86" fillId="54" borderId="0" xfId="1884" applyFont="1" applyFill="1" applyBorder="1" applyAlignment="1">
      <alignment horizontal="left" vertical="center" wrapText="1"/>
    </xf>
    <xf numFmtId="8" fontId="86" fillId="54" borderId="0" xfId="1884" applyNumberFormat="1" applyFont="1" applyFill="1" applyBorder="1" applyAlignment="1">
      <alignment horizontal="right" vertical="center" wrapText="1" indent="1" readingOrder="1"/>
    </xf>
    <xf numFmtId="0" fontId="86" fillId="54" borderId="0" xfId="1884" applyFont="1" applyFill="1" applyBorder="1" applyAlignment="1">
      <alignment horizontal="right" vertical="center" wrapText="1" indent="1" readingOrder="1"/>
    </xf>
    <xf numFmtId="3" fontId="86" fillId="54" borderId="0" xfId="1884" applyNumberFormat="1" applyFont="1" applyFill="1" applyBorder="1" applyAlignment="1">
      <alignment horizontal="right" vertical="center" wrapText="1" indent="1" readingOrder="1"/>
    </xf>
    <xf numFmtId="0" fontId="87" fillId="54" borderId="0" xfId="1884" quotePrefix="1" applyFont="1" applyFill="1" applyBorder="1" applyAlignment="1">
      <alignment horizontal="left" vertical="center" wrapText="1" readingOrder="1"/>
    </xf>
    <xf numFmtId="8" fontId="88" fillId="53" borderId="0" xfId="1884" applyNumberFormat="1" applyFont="1" applyFill="1" applyBorder="1" applyAlignment="1">
      <alignment horizontal="right" vertical="center" wrapText="1" indent="1" readingOrder="1"/>
    </xf>
    <xf numFmtId="8" fontId="88" fillId="54" borderId="0" xfId="1884" applyNumberFormat="1" applyFont="1" applyFill="1" applyBorder="1" applyAlignment="1">
      <alignment horizontal="right" vertical="center" wrapText="1" indent="1" readingOrder="1"/>
    </xf>
    <xf numFmtId="0" fontId="89" fillId="54" borderId="0" xfId="1884" quotePrefix="1" applyFont="1" applyFill="1" applyBorder="1" applyAlignment="1">
      <alignment horizontal="left" vertical="center" wrapText="1" readingOrder="1"/>
    </xf>
    <xf numFmtId="0" fontId="89" fillId="53" borderId="0" xfId="1884" applyFont="1" applyFill="1" applyBorder="1" applyAlignment="1">
      <alignment horizontal="left" vertical="center" wrapText="1" readingOrder="1"/>
    </xf>
    <xf numFmtId="0" fontId="90" fillId="55" borderId="0" xfId="1884" applyFont="1" applyFill="1" applyBorder="1" applyAlignment="1">
      <alignment horizontal="left" vertical="center" wrapText="1" readingOrder="1"/>
    </xf>
    <xf numFmtId="0" fontId="3" fillId="0" borderId="0" xfId="1884" applyBorder="1" applyAlignment="1">
      <alignment wrapText="1"/>
    </xf>
    <xf numFmtId="0" fontId="3" fillId="0" borderId="0" xfId="53" applyFont="1" applyAlignment="1">
      <alignment horizontal="center"/>
    </xf>
    <xf numFmtId="0" fontId="3" fillId="0" borderId="0" xfId="53" applyFont="1"/>
    <xf numFmtId="0" fontId="2" fillId="0" borderId="0" xfId="53" applyFont="1" applyAlignment="1">
      <alignment horizontal="center"/>
    </xf>
    <xf numFmtId="0" fontId="2" fillId="0" borderId="0" xfId="1884" applyFont="1" applyBorder="1"/>
    <xf numFmtId="0" fontId="91" fillId="0" borderId="0" xfId="0" applyFont="1"/>
    <xf numFmtId="43" fontId="92" fillId="0" borderId="0" xfId="74" applyFont="1"/>
    <xf numFmtId="0" fontId="92" fillId="0" borderId="0" xfId="0" applyFont="1"/>
    <xf numFmtId="43" fontId="92" fillId="0" borderId="53" xfId="74" applyFont="1" applyBorder="1"/>
    <xf numFmtId="0" fontId="92" fillId="0" borderId="0" xfId="0" applyFont="1" applyBorder="1"/>
    <xf numFmtId="0" fontId="85" fillId="55" borderId="0" xfId="0" applyFont="1" applyFill="1" applyAlignment="1">
      <alignment horizontal="center" vertical="center" wrapText="1"/>
    </xf>
    <xf numFmtId="43" fontId="92" fillId="55" borderId="15" xfId="74" applyFont="1" applyFill="1" applyBorder="1" applyAlignment="1">
      <alignment horizontal="center"/>
    </xf>
    <xf numFmtId="43" fontId="92" fillId="56" borderId="0" xfId="74" applyFont="1" applyFill="1" applyBorder="1" applyAlignment="1">
      <alignment horizontal="center"/>
    </xf>
    <xf numFmtId="43" fontId="85" fillId="55" borderId="0" xfId="74" quotePrefix="1" applyFont="1" applyFill="1" applyAlignment="1">
      <alignment horizontal="center" vertical="center" wrapText="1"/>
    </xf>
    <xf numFmtId="43" fontId="85" fillId="55" borderId="0" xfId="74" applyFont="1" applyFill="1" applyAlignment="1">
      <alignment horizontal="center" vertical="center" wrapText="1"/>
    </xf>
    <xf numFmtId="43" fontId="85" fillId="6" borderId="0" xfId="74" applyFont="1" applyFill="1" applyAlignment="1">
      <alignment horizontal="center" vertical="center" wrapText="1"/>
    </xf>
    <xf numFmtId="0" fontId="85" fillId="55" borderId="31" xfId="0" applyFont="1" applyFill="1" applyBorder="1" applyAlignment="1">
      <alignment horizontal="center" vertical="center" wrapText="1"/>
    </xf>
    <xf numFmtId="43" fontId="93" fillId="0" borderId="0" xfId="74" applyFont="1"/>
    <xf numFmtId="44" fontId="92" fillId="0" borderId="0" xfId="833" applyFont="1"/>
    <xf numFmtId="0" fontId="92" fillId="0" borderId="53" xfId="0" applyFont="1" applyBorder="1"/>
    <xf numFmtId="0" fontId="92" fillId="0" borderId="31" xfId="0" applyFont="1" applyBorder="1"/>
    <xf numFmtId="43" fontId="92" fillId="6" borderId="0" xfId="74" applyFont="1" applyFill="1"/>
    <xf numFmtId="0" fontId="94" fillId="0" borderId="0" xfId="0" applyFont="1"/>
    <xf numFmtId="43" fontId="94" fillId="0" borderId="0" xfId="74" applyFont="1"/>
    <xf numFmtId="0" fontId="85" fillId="0" borderId="0" xfId="0" applyFont="1"/>
    <xf numFmtId="0" fontId="93" fillId="0" borderId="0" xfId="4" applyFont="1" applyFill="1" applyBorder="1" applyAlignment="1">
      <alignment horizontal="left"/>
    </xf>
    <xf numFmtId="43" fontId="92" fillId="0" borderId="53" xfId="0" applyNumberFormat="1" applyFont="1" applyBorder="1"/>
    <xf numFmtId="43" fontId="92" fillId="0" borderId="0" xfId="0" applyNumberFormat="1" applyFont="1"/>
    <xf numFmtId="0" fontId="92" fillId="0" borderId="0" xfId="0" applyFont="1" applyFill="1"/>
    <xf numFmtId="43" fontId="92" fillId="0" borderId="0" xfId="74" applyFont="1" applyFill="1"/>
    <xf numFmtId="180" fontId="0" fillId="0" borderId="46" xfId="1883" applyNumberFormat="1" applyFont="1" applyBorder="1"/>
    <xf numFmtId="0" fontId="98" fillId="50" borderId="0" xfId="0" applyNumberFormat="1" applyFont="1" applyFill="1" applyBorder="1" applyAlignment="1" applyProtection="1">
      <alignment horizontal="left"/>
    </xf>
    <xf numFmtId="9" fontId="98" fillId="3" borderId="0" xfId="0" applyNumberFormat="1" applyFont="1" applyFill="1" applyBorder="1" applyAlignment="1" applyProtection="1">
      <alignment horizontal="left"/>
    </xf>
    <xf numFmtId="0" fontId="0" fillId="50" borderId="0" xfId="0" applyFill="1"/>
    <xf numFmtId="0" fontId="11" fillId="57" borderId="52" xfId="0" applyFont="1" applyFill="1" applyBorder="1" applyAlignment="1">
      <alignment horizontal="center"/>
    </xf>
    <xf numFmtId="0" fontId="12" fillId="0" borderId="0" xfId="0" applyFont="1" applyFill="1"/>
    <xf numFmtId="0" fontId="100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11" fillId="57" borderId="5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9" fontId="101" fillId="50" borderId="0" xfId="0" applyNumberFormat="1" applyFont="1" applyFill="1"/>
    <xf numFmtId="180" fontId="101" fillId="50" borderId="0" xfId="1883" applyNumberFormat="1" applyFont="1" applyFill="1"/>
    <xf numFmtId="0" fontId="0" fillId="50" borderId="0" xfId="0" applyFill="1" applyAlignment="1"/>
    <xf numFmtId="0" fontId="0" fillId="0" borderId="0" xfId="0" applyFill="1" applyAlignment="1"/>
    <xf numFmtId="180" fontId="0" fillId="0" borderId="10" xfId="74" applyNumberFormat="1" applyFont="1" applyBorder="1"/>
    <xf numFmtId="43" fontId="0" fillId="0" borderId="48" xfId="74" applyFont="1" applyBorder="1"/>
    <xf numFmtId="37" fontId="17" fillId="51" borderId="47" xfId="2" applyNumberFormat="1" applyFont="1" applyFill="1" applyBorder="1" applyProtection="1"/>
    <xf numFmtId="37" fontId="12" fillId="51" borderId="9" xfId="2" applyNumberFormat="1" applyFont="1" applyFill="1" applyBorder="1" applyProtection="1"/>
    <xf numFmtId="37" fontId="12" fillId="51" borderId="47" xfId="2" applyNumberFormat="1" applyFont="1" applyFill="1" applyBorder="1" applyProtection="1"/>
    <xf numFmtId="9" fontId="20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2" applyFont="1" applyFill="1" applyBorder="1" applyProtection="1">
      <protection locked="0"/>
    </xf>
    <xf numFmtId="9" fontId="20" fillId="2" borderId="0" xfId="0" applyNumberFormat="1" applyFont="1" applyFill="1" applyBorder="1" applyAlignment="1" applyProtection="1">
      <protection locked="0"/>
    </xf>
    <xf numFmtId="2" fontId="11" fillId="50" borderId="0" xfId="4" applyNumberFormat="1" applyFont="1" applyFill="1" applyAlignment="1" applyProtection="1">
      <alignment horizontal="left"/>
      <protection locked="0"/>
    </xf>
    <xf numFmtId="0" fontId="19" fillId="4" borderId="0" xfId="2" applyFont="1" applyFill="1" applyBorder="1" applyProtection="1">
      <protection locked="0"/>
    </xf>
    <xf numFmtId="9" fontId="20" fillId="2" borderId="0" xfId="0" applyNumberFormat="1" applyFont="1" applyFill="1" applyBorder="1" applyAlignment="1" applyProtection="1">
      <alignment horizontal="center"/>
      <protection locked="0"/>
    </xf>
    <xf numFmtId="0" fontId="17" fillId="4" borderId="3" xfId="2" applyFont="1" applyFill="1" applyBorder="1" applyProtection="1">
      <protection locked="0"/>
    </xf>
    <xf numFmtId="0" fontId="20" fillId="50" borderId="0" xfId="0" applyNumberFormat="1" applyFont="1" applyFill="1" applyBorder="1" applyAlignment="1" applyProtection="1">
      <alignment horizontal="left"/>
      <protection locked="0"/>
    </xf>
    <xf numFmtId="9" fontId="97" fillId="3" borderId="0" xfId="0" applyNumberFormat="1" applyFont="1" applyFill="1" applyBorder="1" applyAlignment="1" applyProtection="1">
      <alignment horizontal="left"/>
      <protection locked="0"/>
    </xf>
    <xf numFmtId="0" fontId="11" fillId="2" borderId="0" xfId="2" quotePrefix="1" applyFont="1" applyFill="1" applyBorder="1" applyAlignment="1" applyProtection="1">
      <alignment horizontal="right"/>
      <protection locked="0"/>
    </xf>
    <xf numFmtId="0" fontId="17" fillId="4" borderId="13" xfId="2" applyFont="1" applyFill="1" applyBorder="1" applyProtection="1">
      <protection locked="0"/>
    </xf>
    <xf numFmtId="0" fontId="17" fillId="4" borderId="4" xfId="2" applyFont="1" applyFill="1" applyBorder="1" applyProtection="1">
      <protection locked="0"/>
    </xf>
    <xf numFmtId="0" fontId="17" fillId="4" borderId="0" xfId="2" applyFont="1" applyFill="1" applyBorder="1" applyProtection="1">
      <protection locked="0"/>
    </xf>
    <xf numFmtId="0" fontId="17" fillId="2" borderId="0" xfId="2" applyFont="1" applyFill="1" applyBorder="1" applyProtection="1">
      <protection locked="0"/>
    </xf>
    <xf numFmtId="9" fontId="11" fillId="2" borderId="0" xfId="0" applyNumberFormat="1" applyFont="1" applyFill="1" applyProtection="1">
      <protection locked="0"/>
    </xf>
    <xf numFmtId="0" fontId="17" fillId="4" borderId="0" xfId="2" applyFont="1" applyFill="1" applyBorder="1" applyAlignment="1" applyProtection="1">
      <alignment horizontal="left"/>
      <protection locked="0"/>
    </xf>
    <xf numFmtId="0" fontId="14" fillId="2" borderId="8" xfId="2" applyFont="1" applyFill="1" applyBorder="1" applyProtection="1">
      <protection locked="0"/>
    </xf>
    <xf numFmtId="14" fontId="17" fillId="50" borderId="9" xfId="2" applyNumberFormat="1" applyFont="1" applyFill="1" applyBorder="1" applyProtection="1">
      <protection locked="0"/>
    </xf>
    <xf numFmtId="180" fontId="17" fillId="50" borderId="9" xfId="1883" applyNumberFormat="1" applyFont="1" applyFill="1" applyBorder="1" applyProtection="1">
      <protection locked="0"/>
    </xf>
    <xf numFmtId="0" fontId="17" fillId="2" borderId="8" xfId="2" applyFont="1" applyFill="1" applyBorder="1" applyAlignment="1" applyProtection="1">
      <alignment wrapText="1"/>
      <protection locked="0"/>
    </xf>
    <xf numFmtId="0" fontId="14" fillId="2" borderId="46" xfId="2" quotePrefix="1" applyFont="1" applyFill="1" applyBorder="1" applyAlignment="1" applyProtection="1">
      <alignment horizontal="left"/>
      <protection locked="0"/>
    </xf>
    <xf numFmtId="37" fontId="17" fillId="50" borderId="47" xfId="2" applyNumberFormat="1" applyFont="1" applyFill="1" applyBorder="1" applyProtection="1">
      <protection locked="0"/>
    </xf>
    <xf numFmtId="0" fontId="14" fillId="2" borderId="46" xfId="2" applyFont="1" applyFill="1" applyBorder="1" applyProtection="1">
      <protection locked="0"/>
    </xf>
    <xf numFmtId="0" fontId="17" fillId="2" borderId="46" xfId="2" applyFont="1" applyFill="1" applyBorder="1" applyAlignment="1" applyProtection="1">
      <alignment wrapText="1"/>
      <protection locked="0"/>
    </xf>
    <xf numFmtId="180" fontId="17" fillId="50" borderId="47" xfId="1883" applyNumberFormat="1" applyFont="1" applyFill="1" applyBorder="1" applyProtection="1">
      <protection locked="0"/>
    </xf>
    <xf numFmtId="0" fontId="17" fillId="4" borderId="0" xfId="2" quotePrefix="1" applyFont="1" applyFill="1" applyBorder="1" applyAlignment="1" applyProtection="1">
      <alignment horizontal="left"/>
      <protection locked="0"/>
    </xf>
    <xf numFmtId="9" fontId="17" fillId="50" borderId="47" xfId="3" applyFont="1" applyFill="1" applyBorder="1" applyProtection="1">
      <protection locked="0"/>
    </xf>
    <xf numFmtId="0" fontId="17" fillId="2" borderId="46" xfId="2" applyFont="1" applyFill="1" applyBorder="1" applyProtection="1">
      <protection locked="0"/>
    </xf>
    <xf numFmtId="180" fontId="17" fillId="50" borderId="47" xfId="74" applyNumberFormat="1" applyFont="1" applyFill="1" applyBorder="1" applyProtection="1">
      <protection locked="0"/>
    </xf>
    <xf numFmtId="0" fontId="14" fillId="2" borderId="46" xfId="2" quotePrefix="1" applyFont="1" applyFill="1" applyBorder="1" applyAlignment="1" applyProtection="1">
      <alignment horizontal="left" wrapText="1"/>
      <protection locked="0"/>
    </xf>
    <xf numFmtId="0" fontId="14" fillId="2" borderId="48" xfId="2" applyFont="1" applyFill="1" applyBorder="1" applyProtection="1">
      <protection locked="0"/>
    </xf>
    <xf numFmtId="43" fontId="11" fillId="2" borderId="0" xfId="1883" applyFont="1" applyFill="1" applyProtection="1">
      <protection locked="0"/>
    </xf>
    <xf numFmtId="0" fontId="14" fillId="2" borderId="0" xfId="2" applyFont="1" applyFill="1" applyBorder="1" applyProtection="1">
      <protection locked="0"/>
    </xf>
    <xf numFmtId="9" fontId="12" fillId="2" borderId="0" xfId="2" applyNumberFormat="1" applyFont="1" applyFill="1" applyBorder="1" applyAlignment="1" applyProtection="1">
      <alignment horizontal="center"/>
      <protection locked="0"/>
    </xf>
    <xf numFmtId="0" fontId="11" fillId="2" borderId="0" xfId="2" applyFont="1" applyFill="1" applyBorder="1" applyProtection="1">
      <protection locked="0"/>
    </xf>
    <xf numFmtId="0" fontId="14" fillId="2" borderId="48" xfId="2" quotePrefix="1" applyFont="1" applyFill="1" applyBorder="1" applyAlignment="1" applyProtection="1">
      <alignment horizontal="left"/>
      <protection locked="0"/>
    </xf>
    <xf numFmtId="37" fontId="17" fillId="50" borderId="50" xfId="2" applyNumberFormat="1" applyFont="1" applyFill="1" applyBorder="1" applyProtection="1">
      <protection locked="0"/>
    </xf>
    <xf numFmtId="0" fontId="14" fillId="2" borderId="10" xfId="2" applyFont="1" applyFill="1" applyBorder="1" applyAlignment="1" applyProtection="1">
      <alignment horizontal="center"/>
      <protection locked="0"/>
    </xf>
    <xf numFmtId="0" fontId="14" fillId="2" borderId="12" xfId="2" applyFont="1" applyFill="1" applyBorder="1" applyAlignment="1" applyProtection="1">
      <alignment horizontal="center"/>
      <protection locked="0"/>
    </xf>
    <xf numFmtId="0" fontId="17" fillId="50" borderId="46" xfId="2" applyFont="1" applyFill="1" applyBorder="1" applyProtection="1">
      <protection locked="0"/>
    </xf>
    <xf numFmtId="0" fontId="17" fillId="2" borderId="47" xfId="2" applyFont="1" applyFill="1" applyBorder="1" applyProtection="1">
      <protection locked="0"/>
    </xf>
    <xf numFmtId="0" fontId="17" fillId="51" borderId="48" xfId="2" applyFont="1" applyFill="1" applyBorder="1" applyProtection="1">
      <protection locked="0"/>
    </xf>
    <xf numFmtId="0" fontId="17" fillId="2" borderId="50" xfId="2" applyFont="1" applyFill="1" applyBorder="1" applyProtection="1">
      <protection locked="0"/>
    </xf>
    <xf numFmtId="0" fontId="11" fillId="2" borderId="0" xfId="2" quotePrefix="1" applyFont="1" applyFill="1" applyBorder="1" applyAlignment="1" applyProtection="1">
      <alignment horizontal="center"/>
      <protection locked="0"/>
    </xf>
    <xf numFmtId="0" fontId="14" fillId="2" borderId="0" xfId="2" quotePrefix="1" applyFont="1" applyFill="1" applyBorder="1" applyAlignment="1" applyProtection="1">
      <alignment horizontal="left"/>
      <protection locked="0"/>
    </xf>
    <xf numFmtId="0" fontId="12" fillId="2" borderId="0" xfId="2" applyFont="1" applyFill="1" applyBorder="1" applyProtection="1">
      <protection locked="0"/>
    </xf>
    <xf numFmtId="9" fontId="12" fillId="2" borderId="0" xfId="2" applyNumberFormat="1" applyFont="1" applyFill="1" applyBorder="1" applyProtection="1">
      <protection locked="0"/>
    </xf>
    <xf numFmtId="0" fontId="12" fillId="4" borderId="0" xfId="2" applyFont="1" applyFill="1" applyBorder="1" applyProtection="1">
      <protection locked="0"/>
    </xf>
    <xf numFmtId="9" fontId="12" fillId="2" borderId="3" xfId="2" applyNumberFormat="1" applyFont="1" applyFill="1" applyBorder="1" applyAlignment="1" applyProtection="1">
      <alignment horizontal="center"/>
      <protection locked="0"/>
    </xf>
    <xf numFmtId="0" fontId="12" fillId="2" borderId="3" xfId="2" applyFont="1" applyFill="1" applyBorder="1" applyProtection="1">
      <protection locked="0"/>
    </xf>
    <xf numFmtId="0" fontId="11" fillId="2" borderId="3" xfId="2" quotePrefix="1" applyFont="1" applyFill="1" applyBorder="1" applyAlignment="1" applyProtection="1">
      <alignment horizontal="center"/>
      <protection locked="0"/>
    </xf>
    <xf numFmtId="0" fontId="11" fillId="2" borderId="3" xfId="2" applyFont="1" applyFill="1" applyBorder="1" applyProtection="1">
      <protection locked="0"/>
    </xf>
    <xf numFmtId="0" fontId="11" fillId="2" borderId="13" xfId="2" applyFont="1" applyFill="1" applyBorder="1" applyProtection="1">
      <protection locked="0"/>
    </xf>
    <xf numFmtId="0" fontId="12" fillId="3" borderId="0" xfId="2" applyFont="1" applyFill="1" applyBorder="1" applyProtection="1">
      <protection locked="0"/>
    </xf>
    <xf numFmtId="0" fontId="11" fillId="4" borderId="0" xfId="2" applyFont="1" applyFill="1" applyBorder="1" applyProtection="1">
      <protection locked="0"/>
    </xf>
    <xf numFmtId="9" fontId="12" fillId="3" borderId="0" xfId="2" applyNumberFormat="1" applyFont="1" applyFill="1" applyBorder="1" applyProtection="1">
      <protection locked="0"/>
    </xf>
    <xf numFmtId="0" fontId="11" fillId="3" borderId="0" xfId="2" applyFont="1" applyFill="1" applyBorder="1" applyProtection="1">
      <protection locked="0"/>
    </xf>
    <xf numFmtId="0" fontId="12" fillId="4" borderId="0" xfId="2" applyFont="1" applyFill="1" applyBorder="1" applyAlignment="1" applyProtection="1">
      <alignment vertical="top"/>
      <protection locked="0"/>
    </xf>
    <xf numFmtId="0" fontId="23" fillId="3" borderId="0" xfId="2" applyFont="1" applyFill="1" applyBorder="1" applyAlignment="1" applyProtection="1">
      <alignment horizontal="right" vertical="top"/>
      <protection locked="0"/>
    </xf>
    <xf numFmtId="0" fontId="23" fillId="4" borderId="0" xfId="2" applyFont="1" applyFill="1" applyBorder="1" applyAlignment="1" applyProtection="1">
      <alignment vertical="top"/>
      <protection locked="0"/>
    </xf>
    <xf numFmtId="9" fontId="12" fillId="3" borderId="3" xfId="2" applyNumberFormat="1" applyFont="1" applyFill="1" applyBorder="1" applyAlignment="1" applyProtection="1">
      <alignment horizontal="center" vertical="top"/>
      <protection locked="0"/>
    </xf>
    <xf numFmtId="0" fontId="12" fillId="3" borderId="3" xfId="2" applyFont="1" applyFill="1" applyBorder="1" applyAlignment="1" applyProtection="1">
      <alignment vertical="top"/>
      <protection locked="0"/>
    </xf>
    <xf numFmtId="0" fontId="11" fillId="3" borderId="3" xfId="2" quotePrefix="1" applyFont="1" applyFill="1" applyBorder="1" applyAlignment="1" applyProtection="1">
      <alignment horizontal="center" vertical="top"/>
      <protection locked="0"/>
    </xf>
    <xf numFmtId="0" fontId="11" fillId="3" borderId="3" xfId="2" applyFont="1" applyFill="1" applyBorder="1" applyAlignment="1" applyProtection="1">
      <alignment vertical="top"/>
      <protection locked="0"/>
    </xf>
    <xf numFmtId="0" fontId="11" fillId="3" borderId="13" xfId="2" applyFont="1" applyFill="1" applyBorder="1" applyAlignment="1" applyProtection="1">
      <alignment vertical="top"/>
      <protection locked="0"/>
    </xf>
    <xf numFmtId="0" fontId="11" fillId="4" borderId="0" xfId="2" applyFont="1" applyFill="1" applyBorder="1" applyAlignment="1" applyProtection="1">
      <alignment vertical="top"/>
      <protection locked="0"/>
    </xf>
    <xf numFmtId="9" fontId="12" fillId="4" borderId="0" xfId="2" applyNumberFormat="1" applyFont="1" applyFill="1" applyBorder="1" applyAlignment="1" applyProtection="1">
      <alignment horizontal="center"/>
      <protection locked="0"/>
    </xf>
    <xf numFmtId="38" fontId="14" fillId="4" borderId="0" xfId="2" quotePrefix="1" applyNumberFormat="1" applyFont="1" applyFill="1" applyBorder="1" applyAlignment="1" applyProtection="1">
      <alignment horizontal="right"/>
      <protection locked="0"/>
    </xf>
    <xf numFmtId="38" fontId="11" fillId="4" borderId="0" xfId="2" applyNumberFormat="1" applyFont="1" applyFill="1" applyBorder="1" applyProtection="1">
      <protection locked="0"/>
    </xf>
    <xf numFmtId="9" fontId="12" fillId="4" borderId="0" xfId="2" applyNumberFormat="1" applyFont="1" applyFill="1" applyBorder="1" applyProtection="1">
      <protection locked="0"/>
    </xf>
    <xf numFmtId="2" fontId="11" fillId="51" borderId="0" xfId="4" applyNumberFormat="1" applyFont="1" applyFill="1" applyAlignment="1" applyProtection="1">
      <alignment horizontal="left"/>
    </xf>
    <xf numFmtId="38" fontId="14" fillId="6" borderId="0" xfId="2" quotePrefix="1" applyNumberFormat="1" applyFont="1" applyFill="1" applyBorder="1" applyAlignment="1" applyProtection="1">
      <alignment horizontal="left"/>
      <protection locked="0"/>
    </xf>
    <xf numFmtId="9" fontId="11" fillId="6" borderId="0" xfId="3" applyFont="1" applyFill="1" applyBorder="1" applyAlignment="1" applyProtection="1">
      <alignment horizontal="center"/>
      <protection locked="0"/>
    </xf>
    <xf numFmtId="9" fontId="11" fillId="6" borderId="0" xfId="3" applyFont="1" applyFill="1" applyBorder="1" applyProtection="1">
      <protection locked="0"/>
    </xf>
    <xf numFmtId="38" fontId="11" fillId="2" borderId="0" xfId="2" applyNumberFormat="1" applyFont="1" applyFill="1" applyBorder="1" applyProtection="1">
      <protection locked="0"/>
    </xf>
    <xf numFmtId="38" fontId="11" fillId="2" borderId="0" xfId="2" applyNumberFormat="1" applyFont="1" applyFill="1" applyBorder="1" applyAlignment="1" applyProtection="1">
      <alignment horizontal="center"/>
      <protection locked="0"/>
    </xf>
    <xf numFmtId="182" fontId="11" fillId="2" borderId="0" xfId="2" applyNumberFormat="1" applyFont="1" applyFill="1" applyBorder="1" applyProtection="1">
      <protection locked="0"/>
    </xf>
    <xf numFmtId="41" fontId="11" fillId="2" borderId="0" xfId="2" applyNumberFormat="1" applyFont="1" applyFill="1" applyBorder="1" applyProtection="1">
      <protection locked="0"/>
    </xf>
    <xf numFmtId="180" fontId="12" fillId="2" borderId="0" xfId="1883" applyNumberFormat="1" applyFont="1" applyFill="1" applyBorder="1" applyAlignment="1" applyProtection="1">
      <alignment horizontal="right"/>
      <protection locked="0"/>
    </xf>
    <xf numFmtId="37" fontId="12" fillId="2" borderId="0" xfId="2" applyNumberFormat="1" applyFont="1" applyFill="1" applyBorder="1" applyAlignment="1" applyProtection="1">
      <alignment horizontal="right"/>
      <protection locked="0"/>
    </xf>
    <xf numFmtId="0" fontId="12" fillId="2" borderId="0" xfId="2" applyFont="1" applyFill="1" applyBorder="1" applyAlignment="1" applyProtection="1">
      <alignment horizontal="left"/>
      <protection locked="0"/>
    </xf>
    <xf numFmtId="181" fontId="11" fillId="2" borderId="0" xfId="2" applyNumberFormat="1" applyFont="1" applyFill="1" applyBorder="1" applyProtection="1">
      <protection locked="0"/>
    </xf>
    <xf numFmtId="37" fontId="12" fillId="2" borderId="0" xfId="2" applyNumberFormat="1" applyFont="1" applyFill="1" applyBorder="1" applyProtection="1">
      <protection locked="0"/>
    </xf>
    <xf numFmtId="164" fontId="12" fillId="2" borderId="1" xfId="0" applyNumberFormat="1" applyFont="1" applyFill="1" applyBorder="1" applyAlignment="1" applyProtection="1">
      <alignment horizontal="center"/>
      <protection locked="0"/>
    </xf>
    <xf numFmtId="9" fontId="12" fillId="2" borderId="0" xfId="0" applyNumberFormat="1" applyFont="1" applyFill="1" applyBorder="1" applyAlignment="1" applyProtection="1">
      <alignment horizontal="center"/>
      <protection locked="0"/>
    </xf>
    <xf numFmtId="37" fontId="12" fillId="2" borderId="51" xfId="2" applyNumberFormat="1" applyFont="1" applyFill="1" applyBorder="1" applyProtection="1">
      <protection locked="0"/>
    </xf>
    <xf numFmtId="38" fontId="14" fillId="2" borderId="0" xfId="1" applyNumberFormat="1" applyFont="1" applyFill="1" applyBorder="1" applyAlignment="1" applyProtection="1">
      <alignment horizontal="left"/>
      <protection locked="0"/>
    </xf>
    <xf numFmtId="9" fontId="11" fillId="2" borderId="0" xfId="2" applyNumberFormat="1" applyFont="1" applyFill="1" applyBorder="1" applyAlignment="1" applyProtection="1">
      <alignment horizontal="center"/>
      <protection locked="0"/>
    </xf>
    <xf numFmtId="38" fontId="12" fillId="2" borderId="0" xfId="1" applyNumberFormat="1" applyFont="1" applyFill="1" applyBorder="1" applyAlignment="1" applyProtection="1">
      <alignment horizontal="left"/>
      <protection locked="0"/>
    </xf>
    <xf numFmtId="37" fontId="12" fillId="0" borderId="0" xfId="2" applyNumberFormat="1" applyFont="1" applyFill="1" applyBorder="1" applyProtection="1">
      <protection locked="0"/>
    </xf>
    <xf numFmtId="9" fontId="12" fillId="2" borderId="1" xfId="0" applyNumberFormat="1" applyFont="1" applyFill="1" applyBorder="1" applyAlignment="1" applyProtection="1">
      <alignment horizontal="center"/>
      <protection locked="0"/>
    </xf>
    <xf numFmtId="9" fontId="12" fillId="51" borderId="52" xfId="3" applyFont="1" applyFill="1" applyBorder="1" applyProtection="1">
      <protection locked="0"/>
    </xf>
    <xf numFmtId="44" fontId="12" fillId="2" borderId="1" xfId="52" applyFont="1" applyFill="1" applyBorder="1" applyAlignment="1" applyProtection="1">
      <alignment horizontal="center"/>
      <protection locked="0"/>
    </xf>
    <xf numFmtId="38" fontId="12" fillId="2" borderId="0" xfId="2" applyNumberFormat="1" applyFont="1" applyFill="1" applyBorder="1" applyAlignment="1" applyProtection="1">
      <alignment horizontal="left"/>
      <protection locked="0"/>
    </xf>
    <xf numFmtId="38" fontId="12" fillId="2" borderId="0" xfId="1" applyNumberFormat="1" applyFont="1" applyFill="1" applyBorder="1" applyAlignment="1" applyProtection="1">
      <alignment horizontal="right"/>
      <protection locked="0"/>
    </xf>
    <xf numFmtId="0" fontId="23" fillId="2" borderId="0" xfId="2" applyFont="1" applyFill="1" applyBorder="1" applyAlignment="1" applyProtection="1">
      <alignment horizontal="right"/>
      <protection locked="0"/>
    </xf>
    <xf numFmtId="3" fontId="12" fillId="2" borderId="0" xfId="2" applyNumberFormat="1" applyFont="1" applyFill="1" applyBorder="1" applyProtection="1">
      <protection locked="0"/>
    </xf>
    <xf numFmtId="9" fontId="15" fillId="5" borderId="0" xfId="2" quotePrefix="1" applyNumberFormat="1" applyFont="1" applyFill="1" applyBorder="1" applyAlignment="1" applyProtection="1">
      <alignment horizontal="center"/>
      <protection locked="0"/>
    </xf>
    <xf numFmtId="38" fontId="15" fillId="5" borderId="0" xfId="2" quotePrefix="1" applyNumberFormat="1" applyFont="1" applyFill="1" applyBorder="1" applyAlignment="1" applyProtection="1">
      <alignment horizontal="left"/>
      <protection locked="0"/>
    </xf>
    <xf numFmtId="37" fontId="11" fillId="5" borderId="2" xfId="2" applyNumberFormat="1" applyFont="1" applyFill="1" applyBorder="1" applyProtection="1">
      <protection locked="0"/>
    </xf>
    <xf numFmtId="37" fontId="18" fillId="5" borderId="0" xfId="2" applyNumberFormat="1" applyFont="1" applyFill="1" applyBorder="1" applyProtection="1">
      <protection locked="0"/>
    </xf>
    <xf numFmtId="37" fontId="11" fillId="5" borderId="0" xfId="2" applyNumberFormat="1" applyFont="1" applyFill="1" applyBorder="1" applyProtection="1">
      <protection locked="0"/>
    </xf>
    <xf numFmtId="3" fontId="12" fillId="5" borderId="0" xfId="2" applyNumberFormat="1" applyFont="1" applyFill="1" applyBorder="1" applyProtection="1">
      <protection locked="0"/>
    </xf>
    <xf numFmtId="0" fontId="23" fillId="4" borderId="0" xfId="2" applyFont="1" applyFill="1" applyBorder="1" applyProtection="1">
      <protection locked="0"/>
    </xf>
    <xf numFmtId="38" fontId="23" fillId="2" borderId="0" xfId="2" applyNumberFormat="1" applyFont="1" applyFill="1" applyBorder="1" applyProtection="1">
      <protection locked="0"/>
    </xf>
    <xf numFmtId="3" fontId="17" fillId="3" borderId="0" xfId="2" applyNumberFormat="1" applyFont="1" applyFill="1" applyBorder="1" applyProtection="1">
      <protection locked="0"/>
    </xf>
    <xf numFmtId="38" fontId="12" fillId="4" borderId="0" xfId="2" applyNumberFormat="1" applyFont="1" applyFill="1" applyBorder="1" applyProtection="1">
      <protection locked="0"/>
    </xf>
    <xf numFmtId="37" fontId="11" fillId="2" borderId="0" xfId="2" applyNumberFormat="1" applyFont="1" applyFill="1" applyBorder="1" applyProtection="1">
      <protection locked="0"/>
    </xf>
    <xf numFmtId="38" fontId="12" fillId="2" borderId="0" xfId="2" quotePrefix="1" applyNumberFormat="1" applyFont="1" applyFill="1" applyBorder="1" applyAlignment="1" applyProtection="1">
      <alignment horizontal="left"/>
      <protection locked="0"/>
    </xf>
    <xf numFmtId="0" fontId="17" fillId="3" borderId="0" xfId="2" applyFont="1" applyFill="1" applyBorder="1" applyProtection="1">
      <protection locked="0"/>
    </xf>
    <xf numFmtId="0" fontId="12" fillId="2" borderId="0" xfId="2" quotePrefix="1" applyFont="1" applyFill="1" applyBorder="1" applyAlignment="1" applyProtection="1">
      <alignment horizontal="left"/>
      <protection locked="0"/>
    </xf>
    <xf numFmtId="6" fontId="11" fillId="2" borderId="0" xfId="2" applyNumberFormat="1" applyFont="1" applyFill="1" applyBorder="1" applyAlignment="1" applyProtection="1">
      <alignment horizontal="right"/>
      <protection locked="0"/>
    </xf>
    <xf numFmtId="3" fontId="17" fillId="2" borderId="0" xfId="2" applyNumberFormat="1" applyFont="1" applyFill="1" applyBorder="1" applyProtection="1">
      <protection locked="0"/>
    </xf>
    <xf numFmtId="0" fontId="23" fillId="4" borderId="0" xfId="2" applyFont="1" applyFill="1" applyBorder="1" applyAlignment="1" applyProtection="1">
      <alignment horizontal="center"/>
      <protection locked="0"/>
    </xf>
    <xf numFmtId="38" fontId="12" fillId="2" borderId="0" xfId="1" quotePrefix="1" applyNumberFormat="1" applyFont="1" applyFill="1" applyBorder="1" applyAlignment="1" applyProtection="1">
      <alignment horizontal="left"/>
      <protection locked="0"/>
    </xf>
    <xf numFmtId="180" fontId="12" fillId="2" borderId="0" xfId="74" applyNumberFormat="1" applyFont="1" applyFill="1" applyBorder="1" applyAlignment="1" applyProtection="1">
      <alignment horizontal="right"/>
      <protection locked="0"/>
    </xf>
    <xf numFmtId="38" fontId="12" fillId="2" borderId="0" xfId="2" applyNumberFormat="1" applyFont="1" applyFill="1" applyBorder="1" applyProtection="1">
      <protection locked="0"/>
    </xf>
    <xf numFmtId="38" fontId="15" fillId="5" borderId="0" xfId="2" applyNumberFormat="1" applyFont="1" applyFill="1" applyBorder="1" applyAlignment="1" applyProtection="1">
      <alignment horizontal="left"/>
      <protection locked="0"/>
    </xf>
    <xf numFmtId="0" fontId="0" fillId="5" borderId="0" xfId="0" applyFill="1"/>
    <xf numFmtId="0" fontId="11" fillId="0" borderId="0" xfId="0" applyFont="1"/>
    <xf numFmtId="0" fontId="92" fillId="0" borderId="0" xfId="0" quotePrefix="1" applyFont="1" applyAlignment="1">
      <alignment horizontal="left"/>
    </xf>
    <xf numFmtId="0" fontId="11" fillId="57" borderId="52" xfId="0" applyFont="1" applyFill="1" applyBorder="1"/>
    <xf numFmtId="0" fontId="0" fillId="57" borderId="55" xfId="0" applyFill="1" applyBorder="1"/>
    <xf numFmtId="0" fontId="0" fillId="57" borderId="61" xfId="0" applyFill="1" applyBorder="1"/>
    <xf numFmtId="0" fontId="0" fillId="57" borderId="62" xfId="0" applyFill="1" applyBorder="1" applyAlignment="1">
      <alignment wrapText="1"/>
    </xf>
    <xf numFmtId="0" fontId="0" fillId="57" borderId="0" xfId="0" applyFill="1"/>
    <xf numFmtId="0" fontId="0" fillId="57" borderId="63" xfId="0" applyFill="1" applyBorder="1"/>
    <xf numFmtId="0" fontId="0" fillId="57" borderId="62" xfId="0" applyFill="1" applyBorder="1"/>
    <xf numFmtId="0" fontId="100" fillId="57" borderId="0" xfId="0" applyFont="1" applyFill="1" applyAlignment="1">
      <alignment horizontal="center"/>
    </xf>
    <xf numFmtId="0" fontId="100" fillId="57" borderId="63" xfId="0" applyFont="1" applyFill="1" applyBorder="1" applyAlignment="1">
      <alignment horizontal="center"/>
    </xf>
    <xf numFmtId="0" fontId="12" fillId="57" borderId="0" xfId="0" applyFont="1" applyFill="1"/>
    <xf numFmtId="9" fontId="101" fillId="57" borderId="0" xfId="0" applyNumberFormat="1" applyFont="1" applyFill="1"/>
    <xf numFmtId="9" fontId="101" fillId="57" borderId="63" xfId="0" applyNumberFormat="1" applyFont="1" applyFill="1" applyBorder="1"/>
    <xf numFmtId="180" fontId="101" fillId="57" borderId="0" xfId="74" applyNumberFormat="1" applyFont="1" applyFill="1" applyBorder="1"/>
    <xf numFmtId="180" fontId="101" fillId="57" borderId="63" xfId="74" applyNumberFormat="1" applyFont="1" applyFill="1" applyBorder="1"/>
    <xf numFmtId="0" fontId="0" fillId="57" borderId="64" xfId="0" applyFill="1" applyBorder="1"/>
    <xf numFmtId="0" fontId="0" fillId="57" borderId="65" xfId="0" applyFill="1" applyBorder="1"/>
    <xf numFmtId="0" fontId="0" fillId="57" borderId="66" xfId="0" applyFill="1" applyBorder="1"/>
    <xf numFmtId="9" fontId="98" fillId="2" borderId="0" xfId="0" applyNumberFormat="1" applyFont="1" applyFill="1" applyBorder="1" applyAlignment="1" applyProtection="1">
      <alignment horizontal="left"/>
      <protection locked="0"/>
    </xf>
    <xf numFmtId="0" fontId="12" fillId="0" borderId="30" xfId="0" quotePrefix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0" fillId="50" borderId="0" xfId="0" applyFill="1" applyAlignment="1">
      <alignment horizontal="center"/>
    </xf>
    <xf numFmtId="0" fontId="23" fillId="3" borderId="0" xfId="2" applyFont="1" applyFill="1" applyBorder="1" applyAlignment="1" applyProtection="1">
      <alignment horizontal="left" vertical="top" wrapText="1"/>
      <protection locked="0"/>
    </xf>
    <xf numFmtId="9" fontId="20" fillId="2" borderId="0" xfId="0" applyNumberFormat="1" applyFont="1" applyFill="1" applyBorder="1" applyAlignment="1" applyProtection="1">
      <alignment horizontal="left"/>
      <protection locked="0"/>
    </xf>
    <xf numFmtId="0" fontId="21" fillId="50" borderId="5" xfId="2" applyFont="1" applyFill="1" applyBorder="1" applyAlignment="1" applyProtection="1">
      <alignment horizontal="center"/>
      <protection locked="0"/>
    </xf>
    <xf numFmtId="0" fontId="21" fillId="50" borderId="6" xfId="2" applyFont="1" applyFill="1" applyBorder="1" applyAlignment="1" applyProtection="1">
      <alignment horizontal="center"/>
      <protection locked="0"/>
    </xf>
    <xf numFmtId="0" fontId="21" fillId="50" borderId="44" xfId="2" applyFont="1" applyFill="1" applyBorder="1" applyAlignment="1" applyProtection="1">
      <alignment horizontal="center"/>
      <protection locked="0"/>
    </xf>
    <xf numFmtId="0" fontId="21" fillId="50" borderId="7" xfId="2" applyFont="1" applyFill="1" applyBorder="1" applyAlignment="1" applyProtection="1">
      <alignment horizontal="center"/>
      <protection locked="0"/>
    </xf>
    <xf numFmtId="0" fontId="12" fillId="3" borderId="0" xfId="2" applyFont="1" applyFill="1" applyBorder="1" applyAlignment="1" applyProtection="1">
      <alignment horizontal="left" vertical="top" wrapText="1"/>
      <protection locked="0"/>
    </xf>
    <xf numFmtId="43" fontId="92" fillId="55" borderId="14" xfId="74" applyFont="1" applyFill="1" applyBorder="1" applyAlignment="1">
      <alignment horizontal="center"/>
    </xf>
    <xf numFmtId="43" fontId="92" fillId="55" borderId="15" xfId="74" applyFont="1" applyFill="1" applyBorder="1" applyAlignment="1">
      <alignment horizontal="center"/>
    </xf>
    <xf numFmtId="43" fontId="92" fillId="56" borderId="54" xfId="74" applyFont="1" applyFill="1" applyBorder="1" applyAlignment="1">
      <alignment horizontal="center"/>
    </xf>
    <xf numFmtId="43" fontId="92" fillId="56" borderId="15" xfId="74" applyFont="1" applyFill="1" applyBorder="1" applyAlignment="1">
      <alignment horizontal="center"/>
    </xf>
    <xf numFmtId="43" fontId="92" fillId="56" borderId="16" xfId="74" applyFont="1" applyFill="1" applyBorder="1" applyAlignment="1">
      <alignment horizontal="center"/>
    </xf>
    <xf numFmtId="0" fontId="11" fillId="0" borderId="8" xfId="0" quotePrefix="1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57" xfId="0" applyFont="1" applyBorder="1" applyAlignment="1">
      <alignment horizontal="left"/>
    </xf>
    <xf numFmtId="0" fontId="12" fillId="0" borderId="58" xfId="0" applyFont="1" applyBorder="1" applyAlignment="1">
      <alignment horizontal="left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4" xfId="0" quotePrefix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1" fillId="0" borderId="18" xfId="0" quotePrefix="1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45" xfId="0" applyFont="1" applyBorder="1" applyAlignment="1">
      <alignment horizontal="left"/>
    </xf>
  </cellXfs>
  <cellStyles count="1888">
    <cellStyle name="0" xfId="622"/>
    <cellStyle name="0_Cash Flow - UNCH Revised" xfId="680"/>
    <cellStyle name="0_Copy of Gross Revenue by Payor Group Graph August 2008" xfId="681"/>
    <cellStyle name="0_Copy of Gross Revenue by Payor Group Graph August 2008_Presentation Data 1108" xfId="682"/>
    <cellStyle name="0_Copy of Gross Revenue by Payor Group Graph September 2008" xfId="683"/>
    <cellStyle name="0_Copy of Gross Revenue by Payor Group Graph September 2008_Presentation Data 1108" xfId="684"/>
    <cellStyle name="0_FIN0109" xfId="685"/>
    <cellStyle name="0_Gross and Net Revenue by Payor Group Graphs FY08" xfId="686"/>
    <cellStyle name="0_Gross and Net Revenue by Payor Group Graphs FY08_Presentation Data 1108" xfId="687"/>
    <cellStyle name="0_Gross and Net Revenue by Payor Group Graphs May08 ver2" xfId="688"/>
    <cellStyle name="0_Gross and Net Revenue by Payor Group Graphs May08 ver2_Presentation Data 1108" xfId="689"/>
    <cellStyle name="0_UNCH Gross and Net Revenue by Payor Group May 2008" xfId="690"/>
    <cellStyle name="0_UNCH Gross and Net Revenue by Payor Group May 2008_Presentation Data 1108" xfId="691"/>
    <cellStyle name="20% - Accent1 2" xfId="692"/>
    <cellStyle name="20% - Accent1 2 2" xfId="693"/>
    <cellStyle name="20% - Accent1 2 3" xfId="694"/>
    <cellStyle name="20% - Accent1 3 2" xfId="695"/>
    <cellStyle name="20% - Accent1 3 3" xfId="696"/>
    <cellStyle name="20% - Accent2 2" xfId="697"/>
    <cellStyle name="20% - Accent2 2 2" xfId="698"/>
    <cellStyle name="20% - Accent2 2 3" xfId="699"/>
    <cellStyle name="20% - Accent2 3 2" xfId="700"/>
    <cellStyle name="20% - Accent2 3 3" xfId="701"/>
    <cellStyle name="20% - Accent3 2" xfId="702"/>
    <cellStyle name="20% - Accent3 2 2" xfId="703"/>
    <cellStyle name="20% - Accent3 2 3" xfId="704"/>
    <cellStyle name="20% - Accent3 3 2" xfId="705"/>
    <cellStyle name="20% - Accent3 3 3" xfId="706"/>
    <cellStyle name="20% - Accent4 2" xfId="707"/>
    <cellStyle name="20% - Accent4 2 2" xfId="708"/>
    <cellStyle name="20% - Accent4 2 3" xfId="709"/>
    <cellStyle name="20% - Accent4 3 2" xfId="710"/>
    <cellStyle name="20% - Accent4 3 3" xfId="711"/>
    <cellStyle name="20% - Accent5 2" xfId="712"/>
    <cellStyle name="20% - Accent5 2 2" xfId="713"/>
    <cellStyle name="20% - Accent5 2 3" xfId="714"/>
    <cellStyle name="20% - Accent5 3 2" xfId="715"/>
    <cellStyle name="20% - Accent5 3 3" xfId="716"/>
    <cellStyle name="20% - Accent6 2 2" xfId="717"/>
    <cellStyle name="20% - Accent6 2 3" xfId="718"/>
    <cellStyle name="20% - Accent6 3 2" xfId="719"/>
    <cellStyle name="20% - Accent6 3 3" xfId="720"/>
    <cellStyle name="40% - Accent1 2 2" xfId="721"/>
    <cellStyle name="40% - Accent1 2 3" xfId="722"/>
    <cellStyle name="40% - Accent1 3 2" xfId="723"/>
    <cellStyle name="40% - Accent1 3 3" xfId="724"/>
    <cellStyle name="40% - Accent2 2 2" xfId="725"/>
    <cellStyle name="40% - Accent2 2 3" xfId="726"/>
    <cellStyle name="40% - Accent2 3 2" xfId="727"/>
    <cellStyle name="40% - Accent2 3 3" xfId="728"/>
    <cellStyle name="40% - Accent3 2" xfId="729"/>
    <cellStyle name="40% - Accent3 2 2" xfId="730"/>
    <cellStyle name="40% - Accent3 2 3" xfId="731"/>
    <cellStyle name="40% - Accent3 3 2" xfId="732"/>
    <cellStyle name="40% - Accent3 3 3" xfId="733"/>
    <cellStyle name="40% - Accent4 2" xfId="734"/>
    <cellStyle name="40% - Accent4 2 2" xfId="735"/>
    <cellStyle name="40% - Accent4 2 3" xfId="736"/>
    <cellStyle name="40% - Accent4 3 2" xfId="737"/>
    <cellStyle name="40% - Accent4 3 3" xfId="738"/>
    <cellStyle name="40% - Accent5 2 2" xfId="739"/>
    <cellStyle name="40% - Accent5 2 3" xfId="740"/>
    <cellStyle name="40% - Accent5 3 2" xfId="741"/>
    <cellStyle name="40% - Accent5 3 3" xfId="742"/>
    <cellStyle name="40% - Accent6 2" xfId="743"/>
    <cellStyle name="40% - Accent6 2 2" xfId="744"/>
    <cellStyle name="40% - Accent6 2 3" xfId="745"/>
    <cellStyle name="40% - Accent6 3 2" xfId="746"/>
    <cellStyle name="40% - Accent6 3 3" xfId="747"/>
    <cellStyle name="60% - Accent1 2" xfId="748"/>
    <cellStyle name="60% - Accent1 2 2" xfId="749"/>
    <cellStyle name="60% - Accent1 2 3" xfId="750"/>
    <cellStyle name="60% - Accent1 3 2" xfId="751"/>
    <cellStyle name="60% - Accent1 3 3" xfId="752"/>
    <cellStyle name="60% - Accent2 2 2" xfId="753"/>
    <cellStyle name="60% - Accent2 2 3" xfId="754"/>
    <cellStyle name="60% - Accent2 3 2" xfId="755"/>
    <cellStyle name="60% - Accent2 3 3" xfId="756"/>
    <cellStyle name="60% - Accent3 2" xfId="757"/>
    <cellStyle name="60% - Accent3 2 2" xfId="758"/>
    <cellStyle name="60% - Accent3 2 3" xfId="759"/>
    <cellStyle name="60% - Accent3 3 2" xfId="760"/>
    <cellStyle name="60% - Accent3 3 3" xfId="761"/>
    <cellStyle name="60% - Accent4 2" xfId="762"/>
    <cellStyle name="60% - Accent4 2 2" xfId="763"/>
    <cellStyle name="60% - Accent4 2 3" xfId="764"/>
    <cellStyle name="60% - Accent4 3 2" xfId="765"/>
    <cellStyle name="60% - Accent4 3 3" xfId="766"/>
    <cellStyle name="60% - Accent5 2" xfId="767"/>
    <cellStyle name="60% - Accent5 2 2" xfId="768"/>
    <cellStyle name="60% - Accent5 2 3" xfId="769"/>
    <cellStyle name="60% - Accent5 3 2" xfId="770"/>
    <cellStyle name="60% - Accent5 3 3" xfId="771"/>
    <cellStyle name="60% - Accent6 2" xfId="772"/>
    <cellStyle name="60% - Accent6 2 2" xfId="773"/>
    <cellStyle name="60% - Accent6 2 3" xfId="774"/>
    <cellStyle name="60% - Accent6 3 2" xfId="775"/>
    <cellStyle name="60% - Accent6 3 3" xfId="776"/>
    <cellStyle name="Accent1 2" xfId="777"/>
    <cellStyle name="Accent1 2 2" xfId="778"/>
    <cellStyle name="Accent1 2 3" xfId="779"/>
    <cellStyle name="Accent1 3 2" xfId="780"/>
    <cellStyle name="Accent1 3 3" xfId="781"/>
    <cellStyle name="Accent2 2 2" xfId="782"/>
    <cellStyle name="Accent2 2 3" xfId="783"/>
    <cellStyle name="Accent2 3 2" xfId="784"/>
    <cellStyle name="Accent2 3 3" xfId="785"/>
    <cellStyle name="Accent3 2 2" xfId="786"/>
    <cellStyle name="Accent3 2 3" xfId="787"/>
    <cellStyle name="Accent3 3 2" xfId="788"/>
    <cellStyle name="Accent3 3 3" xfId="789"/>
    <cellStyle name="Accent4 2" xfId="790"/>
    <cellStyle name="Accent4 2 2" xfId="791"/>
    <cellStyle name="Accent4 2 3" xfId="792"/>
    <cellStyle name="Accent4 3 2" xfId="793"/>
    <cellStyle name="Accent4 3 3" xfId="794"/>
    <cellStyle name="Accent5 2 2" xfId="795"/>
    <cellStyle name="Accent5 2 3" xfId="796"/>
    <cellStyle name="Accent5 3 2" xfId="797"/>
    <cellStyle name="Accent5 3 3" xfId="798"/>
    <cellStyle name="Accent6 2 2" xfId="799"/>
    <cellStyle name="Accent6 2 3" xfId="800"/>
    <cellStyle name="Accent6 3 2" xfId="801"/>
    <cellStyle name="Accent6 3 3" xfId="802"/>
    <cellStyle name="Accounting" xfId="67"/>
    <cellStyle name="Accounting 2" xfId="68"/>
    <cellStyle name="Accounting 3" xfId="69"/>
    <cellStyle name="Assumption" xfId="70"/>
    <cellStyle name="Bad 2 2" xfId="803"/>
    <cellStyle name="Bad 2 3" xfId="804"/>
    <cellStyle name="Bad 3 2" xfId="805"/>
    <cellStyle name="Bad 3 3" xfId="806"/>
    <cellStyle name="Border" xfId="623"/>
    <cellStyle name="Border 2" xfId="1020"/>
    <cellStyle name="Border 2 2" xfId="1042"/>
    <cellStyle name="Border 2 2 2" xfId="1128"/>
    <cellStyle name="Border 2 2 3" xfId="1171"/>
    <cellStyle name="Border 2 2 4" xfId="1216"/>
    <cellStyle name="Border 2 2 5" xfId="1280"/>
    <cellStyle name="Border 2 2 6" xfId="1344"/>
    <cellStyle name="Border 2 2 7" xfId="1408"/>
    <cellStyle name="Border 2 3" xfId="1063"/>
    <cellStyle name="Border 2 3 2" xfId="1149"/>
    <cellStyle name="Border 2 3 3" xfId="1192"/>
    <cellStyle name="Border 2 3 4" xfId="1237"/>
    <cellStyle name="Border 2 3 5" xfId="1301"/>
    <cellStyle name="Border 2 3 6" xfId="1365"/>
    <cellStyle name="Border 2 3 7" xfId="1429"/>
    <cellStyle name="Border 2 4" xfId="1106"/>
    <cellStyle name="Border 2 5" xfId="1085"/>
    <cellStyle name="Border 2 6" xfId="1258"/>
    <cellStyle name="Border 2 7" xfId="1322"/>
    <cellStyle name="Border 2 8" xfId="1386"/>
    <cellStyle name="Budget" xfId="71"/>
    <cellStyle name="Budget 2" xfId="72"/>
    <cellStyle name="Budget 3" xfId="73"/>
    <cellStyle name="Calculation 2" xfId="807"/>
    <cellStyle name="Calculation 2 2" xfId="808"/>
    <cellStyle name="Calculation 2 2 2" xfId="1021"/>
    <cellStyle name="Calculation 2 2 2 2" xfId="1043"/>
    <cellStyle name="Calculation 2 2 2 2 2" xfId="1129"/>
    <cellStyle name="Calculation 2 2 2 2 2 2" xfId="1575"/>
    <cellStyle name="Calculation 2 2 2 2 3" xfId="1172"/>
    <cellStyle name="Calculation 2 2 2 2 3 2" xfId="1616"/>
    <cellStyle name="Calculation 2 2 2 2 4" xfId="1217"/>
    <cellStyle name="Calculation 2 2 2 2 4 2" xfId="1659"/>
    <cellStyle name="Calculation 2 2 2 2 5" xfId="1281"/>
    <cellStyle name="Calculation 2 2 2 2 5 2" xfId="1720"/>
    <cellStyle name="Calculation 2 2 2 2 6" xfId="1345"/>
    <cellStyle name="Calculation 2 2 2 2 6 2" xfId="1781"/>
    <cellStyle name="Calculation 2 2 2 2 7" xfId="1409"/>
    <cellStyle name="Calculation 2 2 2 2 7 2" xfId="1842"/>
    <cellStyle name="Calculation 2 2 2 2 8" xfId="1493"/>
    <cellStyle name="Calculation 2 2 2 3" xfId="1064"/>
    <cellStyle name="Calculation 2 2 2 3 2" xfId="1150"/>
    <cellStyle name="Calculation 2 2 2 3 2 2" xfId="1595"/>
    <cellStyle name="Calculation 2 2 2 3 3" xfId="1193"/>
    <cellStyle name="Calculation 2 2 2 3 3 2" xfId="1636"/>
    <cellStyle name="Calculation 2 2 2 3 4" xfId="1238"/>
    <cellStyle name="Calculation 2 2 2 3 4 2" xfId="1679"/>
    <cellStyle name="Calculation 2 2 2 3 5" xfId="1302"/>
    <cellStyle name="Calculation 2 2 2 3 5 2" xfId="1740"/>
    <cellStyle name="Calculation 2 2 2 3 6" xfId="1366"/>
    <cellStyle name="Calculation 2 2 2 3 6 2" xfId="1801"/>
    <cellStyle name="Calculation 2 2 2 3 7" xfId="1430"/>
    <cellStyle name="Calculation 2 2 2 3 7 2" xfId="1862"/>
    <cellStyle name="Calculation 2 2 2 3 8" xfId="1513"/>
    <cellStyle name="Calculation 2 2 2 4" xfId="1107"/>
    <cellStyle name="Calculation 2 2 2 4 2" xfId="1554"/>
    <cellStyle name="Calculation 2 2 2 5" xfId="1086"/>
    <cellStyle name="Calculation 2 2 2 5 2" xfId="1534"/>
    <cellStyle name="Calculation 2 2 2 6" xfId="1259"/>
    <cellStyle name="Calculation 2 2 2 6 2" xfId="1699"/>
    <cellStyle name="Calculation 2 2 2 7" xfId="1323"/>
    <cellStyle name="Calculation 2 2 2 7 2" xfId="1760"/>
    <cellStyle name="Calculation 2 2 2 8" xfId="1387"/>
    <cellStyle name="Calculation 2 2 2 8 2" xfId="1821"/>
    <cellStyle name="Calculation 2 2 2 9" xfId="1472"/>
    <cellStyle name="Calculation 2 2 3" xfId="1452"/>
    <cellStyle name="Calculation 2 3" xfId="809"/>
    <cellStyle name="Calculation 2 3 2" xfId="1022"/>
    <cellStyle name="Calculation 2 3 2 2" xfId="1044"/>
    <cellStyle name="Calculation 2 3 2 2 2" xfId="1130"/>
    <cellStyle name="Calculation 2 3 2 2 2 2" xfId="1576"/>
    <cellStyle name="Calculation 2 3 2 2 3" xfId="1173"/>
    <cellStyle name="Calculation 2 3 2 2 3 2" xfId="1617"/>
    <cellStyle name="Calculation 2 3 2 2 4" xfId="1218"/>
    <cellStyle name="Calculation 2 3 2 2 4 2" xfId="1660"/>
    <cellStyle name="Calculation 2 3 2 2 5" xfId="1282"/>
    <cellStyle name="Calculation 2 3 2 2 5 2" xfId="1721"/>
    <cellStyle name="Calculation 2 3 2 2 6" xfId="1346"/>
    <cellStyle name="Calculation 2 3 2 2 6 2" xfId="1782"/>
    <cellStyle name="Calculation 2 3 2 2 7" xfId="1410"/>
    <cellStyle name="Calculation 2 3 2 2 7 2" xfId="1843"/>
    <cellStyle name="Calculation 2 3 2 2 8" xfId="1494"/>
    <cellStyle name="Calculation 2 3 2 3" xfId="1065"/>
    <cellStyle name="Calculation 2 3 2 3 2" xfId="1151"/>
    <cellStyle name="Calculation 2 3 2 3 2 2" xfId="1596"/>
    <cellStyle name="Calculation 2 3 2 3 3" xfId="1194"/>
    <cellStyle name="Calculation 2 3 2 3 3 2" xfId="1637"/>
    <cellStyle name="Calculation 2 3 2 3 4" xfId="1239"/>
    <cellStyle name="Calculation 2 3 2 3 4 2" xfId="1680"/>
    <cellStyle name="Calculation 2 3 2 3 5" xfId="1303"/>
    <cellStyle name="Calculation 2 3 2 3 5 2" xfId="1741"/>
    <cellStyle name="Calculation 2 3 2 3 6" xfId="1367"/>
    <cellStyle name="Calculation 2 3 2 3 6 2" xfId="1802"/>
    <cellStyle name="Calculation 2 3 2 3 7" xfId="1431"/>
    <cellStyle name="Calculation 2 3 2 3 7 2" xfId="1863"/>
    <cellStyle name="Calculation 2 3 2 3 8" xfId="1514"/>
    <cellStyle name="Calculation 2 3 2 4" xfId="1108"/>
    <cellStyle name="Calculation 2 3 2 4 2" xfId="1555"/>
    <cellStyle name="Calculation 2 3 2 5" xfId="1096"/>
    <cellStyle name="Calculation 2 3 2 5 2" xfId="1544"/>
    <cellStyle name="Calculation 2 3 2 6" xfId="1260"/>
    <cellStyle name="Calculation 2 3 2 6 2" xfId="1700"/>
    <cellStyle name="Calculation 2 3 2 7" xfId="1324"/>
    <cellStyle name="Calculation 2 3 2 7 2" xfId="1761"/>
    <cellStyle name="Calculation 2 3 2 8" xfId="1388"/>
    <cellStyle name="Calculation 2 3 2 8 2" xfId="1822"/>
    <cellStyle name="Calculation 2 3 2 9" xfId="1473"/>
    <cellStyle name="Calculation 2 3 3" xfId="1453"/>
    <cellStyle name="Calculation 3 2" xfId="810"/>
    <cellStyle name="Calculation 3 2 2" xfId="1023"/>
    <cellStyle name="Calculation 3 2 2 2" xfId="1045"/>
    <cellStyle name="Calculation 3 2 2 2 2" xfId="1131"/>
    <cellStyle name="Calculation 3 2 2 2 2 2" xfId="1577"/>
    <cellStyle name="Calculation 3 2 2 2 3" xfId="1174"/>
    <cellStyle name="Calculation 3 2 2 2 3 2" xfId="1618"/>
    <cellStyle name="Calculation 3 2 2 2 4" xfId="1219"/>
    <cellStyle name="Calculation 3 2 2 2 4 2" xfId="1661"/>
    <cellStyle name="Calculation 3 2 2 2 5" xfId="1283"/>
    <cellStyle name="Calculation 3 2 2 2 5 2" xfId="1722"/>
    <cellStyle name="Calculation 3 2 2 2 6" xfId="1347"/>
    <cellStyle name="Calculation 3 2 2 2 6 2" xfId="1783"/>
    <cellStyle name="Calculation 3 2 2 2 7" xfId="1411"/>
    <cellStyle name="Calculation 3 2 2 2 7 2" xfId="1844"/>
    <cellStyle name="Calculation 3 2 2 2 8" xfId="1495"/>
    <cellStyle name="Calculation 3 2 2 3" xfId="1066"/>
    <cellStyle name="Calculation 3 2 2 3 2" xfId="1152"/>
    <cellStyle name="Calculation 3 2 2 3 2 2" xfId="1597"/>
    <cellStyle name="Calculation 3 2 2 3 3" xfId="1195"/>
    <cellStyle name="Calculation 3 2 2 3 3 2" xfId="1638"/>
    <cellStyle name="Calculation 3 2 2 3 4" xfId="1240"/>
    <cellStyle name="Calculation 3 2 2 3 4 2" xfId="1681"/>
    <cellStyle name="Calculation 3 2 2 3 5" xfId="1304"/>
    <cellStyle name="Calculation 3 2 2 3 5 2" xfId="1742"/>
    <cellStyle name="Calculation 3 2 2 3 6" xfId="1368"/>
    <cellStyle name="Calculation 3 2 2 3 6 2" xfId="1803"/>
    <cellStyle name="Calculation 3 2 2 3 7" xfId="1432"/>
    <cellStyle name="Calculation 3 2 2 3 7 2" xfId="1864"/>
    <cellStyle name="Calculation 3 2 2 3 8" xfId="1515"/>
    <cellStyle name="Calculation 3 2 2 4" xfId="1109"/>
    <cellStyle name="Calculation 3 2 2 4 2" xfId="1556"/>
    <cellStyle name="Calculation 3 2 2 5" xfId="1098"/>
    <cellStyle name="Calculation 3 2 2 5 2" xfId="1546"/>
    <cellStyle name="Calculation 3 2 2 6" xfId="1261"/>
    <cellStyle name="Calculation 3 2 2 6 2" xfId="1701"/>
    <cellStyle name="Calculation 3 2 2 7" xfId="1325"/>
    <cellStyle name="Calculation 3 2 2 7 2" xfId="1762"/>
    <cellStyle name="Calculation 3 2 2 8" xfId="1389"/>
    <cellStyle name="Calculation 3 2 2 8 2" xfId="1823"/>
    <cellStyle name="Calculation 3 2 2 9" xfId="1474"/>
    <cellStyle name="Calculation 3 2 3" xfId="1454"/>
    <cellStyle name="Calculation 3 3" xfId="811"/>
    <cellStyle name="Calculation 3 3 2" xfId="1024"/>
    <cellStyle name="Calculation 3 3 2 2" xfId="1046"/>
    <cellStyle name="Calculation 3 3 2 2 2" xfId="1132"/>
    <cellStyle name="Calculation 3 3 2 2 2 2" xfId="1578"/>
    <cellStyle name="Calculation 3 3 2 2 3" xfId="1175"/>
    <cellStyle name="Calculation 3 3 2 2 3 2" xfId="1619"/>
    <cellStyle name="Calculation 3 3 2 2 4" xfId="1220"/>
    <cellStyle name="Calculation 3 3 2 2 4 2" xfId="1662"/>
    <cellStyle name="Calculation 3 3 2 2 5" xfId="1284"/>
    <cellStyle name="Calculation 3 3 2 2 5 2" xfId="1723"/>
    <cellStyle name="Calculation 3 3 2 2 6" xfId="1348"/>
    <cellStyle name="Calculation 3 3 2 2 6 2" xfId="1784"/>
    <cellStyle name="Calculation 3 3 2 2 7" xfId="1412"/>
    <cellStyle name="Calculation 3 3 2 2 7 2" xfId="1845"/>
    <cellStyle name="Calculation 3 3 2 2 8" xfId="1496"/>
    <cellStyle name="Calculation 3 3 2 3" xfId="1067"/>
    <cellStyle name="Calculation 3 3 2 3 2" xfId="1153"/>
    <cellStyle name="Calculation 3 3 2 3 2 2" xfId="1598"/>
    <cellStyle name="Calculation 3 3 2 3 3" xfId="1196"/>
    <cellStyle name="Calculation 3 3 2 3 3 2" xfId="1639"/>
    <cellStyle name="Calculation 3 3 2 3 4" xfId="1241"/>
    <cellStyle name="Calculation 3 3 2 3 4 2" xfId="1682"/>
    <cellStyle name="Calculation 3 3 2 3 5" xfId="1305"/>
    <cellStyle name="Calculation 3 3 2 3 5 2" xfId="1743"/>
    <cellStyle name="Calculation 3 3 2 3 6" xfId="1369"/>
    <cellStyle name="Calculation 3 3 2 3 6 2" xfId="1804"/>
    <cellStyle name="Calculation 3 3 2 3 7" xfId="1433"/>
    <cellStyle name="Calculation 3 3 2 3 7 2" xfId="1865"/>
    <cellStyle name="Calculation 3 3 2 3 8" xfId="1516"/>
    <cellStyle name="Calculation 3 3 2 4" xfId="1110"/>
    <cellStyle name="Calculation 3 3 2 4 2" xfId="1557"/>
    <cellStyle name="Calculation 3 3 2 5" xfId="1099"/>
    <cellStyle name="Calculation 3 3 2 5 2" xfId="1547"/>
    <cellStyle name="Calculation 3 3 2 6" xfId="1262"/>
    <cellStyle name="Calculation 3 3 2 6 2" xfId="1702"/>
    <cellStyle name="Calculation 3 3 2 7" xfId="1326"/>
    <cellStyle name="Calculation 3 3 2 7 2" xfId="1763"/>
    <cellStyle name="Calculation 3 3 2 8" xfId="1390"/>
    <cellStyle name="Calculation 3 3 2 8 2" xfId="1824"/>
    <cellStyle name="Calculation 3 3 2 9" xfId="1475"/>
    <cellStyle name="Calculation 3 3 3" xfId="1455"/>
    <cellStyle name="Centered Heading" xfId="812"/>
    <cellStyle name="Check Cell 2 2" xfId="813"/>
    <cellStyle name="Check Cell 2 3" xfId="814"/>
    <cellStyle name="Check Cell 3 2" xfId="815"/>
    <cellStyle name="Check Cell 3 3" xfId="816"/>
    <cellStyle name="Column_Title" xfId="624"/>
    <cellStyle name="Comma" xfId="1883" builtinId="3"/>
    <cellStyle name="Comma  - Style1" xfId="625"/>
    <cellStyle name="Comma  - Style2" xfId="626"/>
    <cellStyle name="Comma  - Style3" xfId="627"/>
    <cellStyle name="Comma  - Style4" xfId="628"/>
    <cellStyle name="Comma  - Style5" xfId="629"/>
    <cellStyle name="Comma  - Style6" xfId="630"/>
    <cellStyle name="Comma  - Style7" xfId="631"/>
    <cellStyle name="Comma  - Style8" xfId="632"/>
    <cellStyle name="Comma 10" xfId="1011"/>
    <cellStyle name="Comma 11" xfId="1015"/>
    <cellStyle name="Comma 12" xfId="1017"/>
    <cellStyle name="Comma 13" xfId="1019"/>
    <cellStyle name="Comma 14" xfId="56"/>
    <cellStyle name="Comma 15" xfId="1886"/>
    <cellStyle name="Comma 2" xfId="11"/>
    <cellStyle name="Comma 2 2" xfId="74"/>
    <cellStyle name="Comma 2 2 2" xfId="75"/>
    <cellStyle name="Comma 2 2 3" xfId="76"/>
    <cellStyle name="Comma 2 2 4" xfId="817"/>
    <cellStyle name="Comma 2 3" xfId="77"/>
    <cellStyle name="Comma 2 3 2" xfId="818"/>
    <cellStyle name="Comma 2 4" xfId="78"/>
    <cellStyle name="Comma 2 5" xfId="60"/>
    <cellStyle name="Comma 3" xfId="12"/>
    <cellStyle name="Comma 3 2" xfId="819"/>
    <cellStyle name="Comma 3 3" xfId="820"/>
    <cellStyle name="Comma 3 4" xfId="62"/>
    <cellStyle name="Comma 4" xfId="13"/>
    <cellStyle name="Comma 4 2" xfId="821"/>
    <cellStyle name="Comma 4 3" xfId="822"/>
    <cellStyle name="Comma 4 4" xfId="79"/>
    <cellStyle name="Comma 5" xfId="14"/>
    <cellStyle name="Comma 5 2" xfId="823"/>
    <cellStyle name="Comma 5 3" xfId="80"/>
    <cellStyle name="Comma 6" xfId="15"/>
    <cellStyle name="Comma 6 2" xfId="825"/>
    <cellStyle name="Comma 6 3" xfId="824"/>
    <cellStyle name="Comma 7" xfId="16"/>
    <cellStyle name="Comma 7 2" xfId="827"/>
    <cellStyle name="Comma 7 3" xfId="826"/>
    <cellStyle name="Comma 8" xfId="17"/>
    <cellStyle name="Comma 8 2" xfId="828"/>
    <cellStyle name="Comma 9" xfId="54"/>
    <cellStyle name="Comma 9 2" xfId="1013"/>
    <cellStyle name="Comma(2)" xfId="81"/>
    <cellStyle name="Comma0" xfId="633"/>
    <cellStyle name="Comma0 2" xfId="829"/>
    <cellStyle name="Comma0 3" xfId="830"/>
    <cellStyle name="Comma0 4" xfId="831"/>
    <cellStyle name="Comment" xfId="82"/>
    <cellStyle name="Comment 10" xfId="83"/>
    <cellStyle name="Comment 11" xfId="84"/>
    <cellStyle name="Comment 12" xfId="85"/>
    <cellStyle name="Comment 13" xfId="86"/>
    <cellStyle name="Comment 14" xfId="87"/>
    <cellStyle name="Comment 15" xfId="88"/>
    <cellStyle name="Comment 16" xfId="89"/>
    <cellStyle name="Comment 17" xfId="90"/>
    <cellStyle name="Comment 18" xfId="91"/>
    <cellStyle name="Comment 19" xfId="92"/>
    <cellStyle name="Comment 2" xfId="93"/>
    <cellStyle name="Comment 20" xfId="94"/>
    <cellStyle name="Comment 21" xfId="95"/>
    <cellStyle name="Comment 22" xfId="96"/>
    <cellStyle name="Comment 23" xfId="97"/>
    <cellStyle name="Comment 24" xfId="98"/>
    <cellStyle name="Comment 25" xfId="99"/>
    <cellStyle name="Comment 26" xfId="100"/>
    <cellStyle name="Comment 27" xfId="101"/>
    <cellStyle name="Comment 28" xfId="102"/>
    <cellStyle name="Comment 29" xfId="103"/>
    <cellStyle name="Comment 3" xfId="104"/>
    <cellStyle name="Comment 30" xfId="105"/>
    <cellStyle name="Comment 31" xfId="106"/>
    <cellStyle name="Comment 32" xfId="107"/>
    <cellStyle name="Comment 33" xfId="108"/>
    <cellStyle name="Comment 34" xfId="109"/>
    <cellStyle name="Comment 35" xfId="110"/>
    <cellStyle name="Comment 36" xfId="111"/>
    <cellStyle name="Comment 37" xfId="112"/>
    <cellStyle name="Comment 38" xfId="113"/>
    <cellStyle name="Comment 39" xfId="114"/>
    <cellStyle name="Comment 4" xfId="115"/>
    <cellStyle name="Comment 40" xfId="116"/>
    <cellStyle name="Comment 41" xfId="117"/>
    <cellStyle name="Comment 42" xfId="118"/>
    <cellStyle name="Comment 43" xfId="119"/>
    <cellStyle name="Comment 44" xfId="120"/>
    <cellStyle name="Comment 45" xfId="121"/>
    <cellStyle name="Comment 46" xfId="122"/>
    <cellStyle name="Comment 47" xfId="123"/>
    <cellStyle name="Comment 48" xfId="124"/>
    <cellStyle name="Comment 49" xfId="634"/>
    <cellStyle name="Comment 5" xfId="125"/>
    <cellStyle name="Comment 50" xfId="635"/>
    <cellStyle name="Comment 6" xfId="126"/>
    <cellStyle name="Comment 7" xfId="127"/>
    <cellStyle name="Comment 8" xfId="128"/>
    <cellStyle name="Comment 9" xfId="129"/>
    <cellStyle name="Comment_ACCT" xfId="130"/>
    <cellStyle name="Comments" xfId="131"/>
    <cellStyle name="Company Name" xfId="832"/>
    <cellStyle name="Currency" xfId="52" builtinId="4"/>
    <cellStyle name="Currency 2" xfId="6"/>
    <cellStyle name="Currency 2 2" xfId="833"/>
    <cellStyle name="Currency 2 3" xfId="834"/>
    <cellStyle name="Currency 2 3 2" xfId="835"/>
    <cellStyle name="Currency 2 3 2 2" xfId="836"/>
    <cellStyle name="Currency 2 4" xfId="59"/>
    <cellStyle name="Currency 3" xfId="837"/>
    <cellStyle name="Currency 3 2" xfId="838"/>
    <cellStyle name="Currency 4" xfId="57"/>
    <cellStyle name="Currency_CD-Oxford2" xfId="1"/>
    <cellStyle name="Currency0" xfId="636"/>
    <cellStyle name="Currency0 2" xfId="839"/>
    <cellStyle name="Currency0 3" xfId="840"/>
    <cellStyle name="Currency0 4" xfId="841"/>
    <cellStyle name="Data Enter" xfId="132"/>
    <cellStyle name="Date" xfId="133"/>
    <cellStyle name="Date 2" xfId="842"/>
    <cellStyle name="Date 3" xfId="843"/>
    <cellStyle name="Date 4" xfId="844"/>
    <cellStyle name="Date 5" xfId="845"/>
    <cellStyle name="Explanatory Text 2 2" xfId="846"/>
    <cellStyle name="Explanatory Text 2 3" xfId="847"/>
    <cellStyle name="Explanatory Text 3 2" xfId="848"/>
    <cellStyle name="Explanatory Text 3 3" xfId="849"/>
    <cellStyle name="F2" xfId="134"/>
    <cellStyle name="F3" xfId="135"/>
    <cellStyle name="F4" xfId="136"/>
    <cellStyle name="F5" xfId="137"/>
    <cellStyle name="F6" xfId="138"/>
    <cellStyle name="F7" xfId="139"/>
    <cellStyle name="F8" xfId="140"/>
    <cellStyle name="FactSheet" xfId="141"/>
    <cellStyle name="Fixed" xfId="142"/>
    <cellStyle name="Fixed 2" xfId="850"/>
    <cellStyle name="Fixed 3" xfId="851"/>
    <cellStyle name="Fixed 4" xfId="852"/>
    <cellStyle name="Fixed 5" xfId="853"/>
    <cellStyle name="FIXED 6" xfId="854"/>
    <cellStyle name="Flag" xfId="143"/>
    <cellStyle name="Good 2 2" xfId="855"/>
    <cellStyle name="Good 2 3" xfId="856"/>
    <cellStyle name="Good 3 2" xfId="857"/>
    <cellStyle name="Good 3 3" xfId="858"/>
    <cellStyle name="Grey" xfId="637"/>
    <cellStyle name="Header1" xfId="638"/>
    <cellStyle name="Header2" xfId="639"/>
    <cellStyle name="Header2 2" xfId="1041"/>
    <cellStyle name="Header2 2 2" xfId="1127"/>
    <cellStyle name="Header2 2 2 2" xfId="1574"/>
    <cellStyle name="Header2 2 3" xfId="1170"/>
    <cellStyle name="Header2 2 3 2" xfId="1615"/>
    <cellStyle name="Header2 2 4" xfId="1215"/>
    <cellStyle name="Header2 2 4 2" xfId="1658"/>
    <cellStyle name="Header2 2 5" xfId="1279"/>
    <cellStyle name="Header2 2 5 2" xfId="1719"/>
    <cellStyle name="Header2 2 6" xfId="1343"/>
    <cellStyle name="Header2 2 6 2" xfId="1780"/>
    <cellStyle name="Header2 2 7" xfId="1407"/>
    <cellStyle name="Header2 2 7 2" xfId="1841"/>
    <cellStyle name="Header2 2 8" xfId="1492"/>
    <cellStyle name="Header2 3" xfId="1105"/>
    <cellStyle name="Header2 3 2" xfId="1553"/>
    <cellStyle name="Header2 4" xfId="1084"/>
    <cellStyle name="Header2 4 2" xfId="1533"/>
    <cellStyle name="Header2 5" xfId="1097"/>
    <cellStyle name="Header2 5 2" xfId="1545"/>
    <cellStyle name="Heading 1 2" xfId="640"/>
    <cellStyle name="Heading 1 2 2" xfId="859"/>
    <cellStyle name="Heading 1 2 3" xfId="860"/>
    <cellStyle name="Heading 1 3" xfId="641"/>
    <cellStyle name="Heading 1 3 2" xfId="861"/>
    <cellStyle name="Heading 1 3 3" xfId="862"/>
    <cellStyle name="Heading 1 4" xfId="642"/>
    <cellStyle name="Heading 2 2" xfId="643"/>
    <cellStyle name="Heading 2 2 2" xfId="863"/>
    <cellStyle name="Heading 2 2 3" xfId="864"/>
    <cellStyle name="Heading 2 3" xfId="644"/>
    <cellStyle name="Heading 2 3 2" xfId="865"/>
    <cellStyle name="Heading 2 3 3" xfId="866"/>
    <cellStyle name="Heading 2 4" xfId="645"/>
    <cellStyle name="Heading 3 2" xfId="867"/>
    <cellStyle name="Heading 3 2 2" xfId="868"/>
    <cellStyle name="Heading 3 2 3" xfId="869"/>
    <cellStyle name="Heading 3 3 2" xfId="870"/>
    <cellStyle name="Heading 3 3 3" xfId="871"/>
    <cellStyle name="Heading 4 2" xfId="872"/>
    <cellStyle name="Heading 4 2 2" xfId="873"/>
    <cellStyle name="Heading 4 2 3" xfId="874"/>
    <cellStyle name="Heading 4 3 2" xfId="875"/>
    <cellStyle name="Heading 4 3 3" xfId="876"/>
    <cellStyle name="Heading No Underline" xfId="877"/>
    <cellStyle name="Heading With Underline" xfId="878"/>
    <cellStyle name="Heading1" xfId="144"/>
    <cellStyle name="Heading2" xfId="145"/>
    <cellStyle name="Hyperlink 2" xfId="146"/>
    <cellStyle name="Hyperlink 2 2" xfId="147"/>
    <cellStyle name="Hyperlink 2 3" xfId="148"/>
    <cellStyle name="Hyperlink 2_Cost Centers with Managers" xfId="149"/>
    <cellStyle name="Hyperlink 3" xfId="150"/>
    <cellStyle name="Hyperlink 3 2" xfId="151"/>
    <cellStyle name="Hyperlink 3 3" xfId="152"/>
    <cellStyle name="Hyperlink 4" xfId="153"/>
    <cellStyle name="Hyperlink 4 2" xfId="154"/>
    <cellStyle name="Hyperlink 4 3" xfId="155"/>
    <cellStyle name="Hyperlink 5" xfId="156"/>
    <cellStyle name="Input [yellow]" xfId="646"/>
    <cellStyle name="Input 2 2" xfId="879"/>
    <cellStyle name="Input 2 2 2" xfId="1025"/>
    <cellStyle name="Input 2 2 2 2" xfId="1047"/>
    <cellStyle name="Input 2 2 2 2 2" xfId="1133"/>
    <cellStyle name="Input 2 2 2 2 2 2" xfId="1579"/>
    <cellStyle name="Input 2 2 2 2 3" xfId="1176"/>
    <cellStyle name="Input 2 2 2 2 3 2" xfId="1620"/>
    <cellStyle name="Input 2 2 2 2 4" xfId="1221"/>
    <cellStyle name="Input 2 2 2 2 4 2" xfId="1663"/>
    <cellStyle name="Input 2 2 2 2 5" xfId="1285"/>
    <cellStyle name="Input 2 2 2 2 5 2" xfId="1724"/>
    <cellStyle name="Input 2 2 2 2 6" xfId="1349"/>
    <cellStyle name="Input 2 2 2 2 6 2" xfId="1785"/>
    <cellStyle name="Input 2 2 2 2 7" xfId="1413"/>
    <cellStyle name="Input 2 2 2 2 7 2" xfId="1846"/>
    <cellStyle name="Input 2 2 2 2 8" xfId="1497"/>
    <cellStyle name="Input 2 2 2 3" xfId="1068"/>
    <cellStyle name="Input 2 2 2 3 2" xfId="1154"/>
    <cellStyle name="Input 2 2 2 3 2 2" xfId="1599"/>
    <cellStyle name="Input 2 2 2 3 3" xfId="1197"/>
    <cellStyle name="Input 2 2 2 3 3 2" xfId="1640"/>
    <cellStyle name="Input 2 2 2 3 4" xfId="1242"/>
    <cellStyle name="Input 2 2 2 3 4 2" xfId="1683"/>
    <cellStyle name="Input 2 2 2 3 5" xfId="1306"/>
    <cellStyle name="Input 2 2 2 3 5 2" xfId="1744"/>
    <cellStyle name="Input 2 2 2 3 6" xfId="1370"/>
    <cellStyle name="Input 2 2 2 3 6 2" xfId="1805"/>
    <cellStyle name="Input 2 2 2 3 7" xfId="1434"/>
    <cellStyle name="Input 2 2 2 3 7 2" xfId="1866"/>
    <cellStyle name="Input 2 2 2 3 8" xfId="1517"/>
    <cellStyle name="Input 2 2 2 4" xfId="1111"/>
    <cellStyle name="Input 2 2 2 4 2" xfId="1558"/>
    <cellStyle name="Input 2 2 2 5" xfId="1100"/>
    <cellStyle name="Input 2 2 2 5 2" xfId="1548"/>
    <cellStyle name="Input 2 2 2 6" xfId="1263"/>
    <cellStyle name="Input 2 2 2 6 2" xfId="1703"/>
    <cellStyle name="Input 2 2 2 7" xfId="1327"/>
    <cellStyle name="Input 2 2 2 7 2" xfId="1764"/>
    <cellStyle name="Input 2 2 2 8" xfId="1391"/>
    <cellStyle name="Input 2 2 2 8 2" xfId="1825"/>
    <cellStyle name="Input 2 2 2 9" xfId="1476"/>
    <cellStyle name="Input 2 2 3" xfId="1456"/>
    <cellStyle name="Input 2 3" xfId="880"/>
    <cellStyle name="Input 2 3 2" xfId="1026"/>
    <cellStyle name="Input 2 3 2 2" xfId="1048"/>
    <cellStyle name="Input 2 3 2 2 2" xfId="1134"/>
    <cellStyle name="Input 2 3 2 2 2 2" xfId="1580"/>
    <cellStyle name="Input 2 3 2 2 3" xfId="1177"/>
    <cellStyle name="Input 2 3 2 2 3 2" xfId="1621"/>
    <cellStyle name="Input 2 3 2 2 4" xfId="1222"/>
    <cellStyle name="Input 2 3 2 2 4 2" xfId="1664"/>
    <cellStyle name="Input 2 3 2 2 5" xfId="1286"/>
    <cellStyle name="Input 2 3 2 2 5 2" xfId="1725"/>
    <cellStyle name="Input 2 3 2 2 6" xfId="1350"/>
    <cellStyle name="Input 2 3 2 2 6 2" xfId="1786"/>
    <cellStyle name="Input 2 3 2 2 7" xfId="1414"/>
    <cellStyle name="Input 2 3 2 2 7 2" xfId="1847"/>
    <cellStyle name="Input 2 3 2 2 8" xfId="1498"/>
    <cellStyle name="Input 2 3 2 3" xfId="1069"/>
    <cellStyle name="Input 2 3 2 3 2" xfId="1155"/>
    <cellStyle name="Input 2 3 2 3 2 2" xfId="1600"/>
    <cellStyle name="Input 2 3 2 3 3" xfId="1198"/>
    <cellStyle name="Input 2 3 2 3 3 2" xfId="1641"/>
    <cellStyle name="Input 2 3 2 3 4" xfId="1243"/>
    <cellStyle name="Input 2 3 2 3 4 2" xfId="1684"/>
    <cellStyle name="Input 2 3 2 3 5" xfId="1307"/>
    <cellStyle name="Input 2 3 2 3 5 2" xfId="1745"/>
    <cellStyle name="Input 2 3 2 3 6" xfId="1371"/>
    <cellStyle name="Input 2 3 2 3 6 2" xfId="1806"/>
    <cellStyle name="Input 2 3 2 3 7" xfId="1435"/>
    <cellStyle name="Input 2 3 2 3 7 2" xfId="1867"/>
    <cellStyle name="Input 2 3 2 3 8" xfId="1518"/>
    <cellStyle name="Input 2 3 2 4" xfId="1112"/>
    <cellStyle name="Input 2 3 2 4 2" xfId="1559"/>
    <cellStyle name="Input 2 3 2 5" xfId="1101"/>
    <cellStyle name="Input 2 3 2 5 2" xfId="1549"/>
    <cellStyle name="Input 2 3 2 6" xfId="1264"/>
    <cellStyle name="Input 2 3 2 6 2" xfId="1704"/>
    <cellStyle name="Input 2 3 2 7" xfId="1328"/>
    <cellStyle name="Input 2 3 2 7 2" xfId="1765"/>
    <cellStyle name="Input 2 3 2 8" xfId="1392"/>
    <cellStyle name="Input 2 3 2 8 2" xfId="1826"/>
    <cellStyle name="Input 2 3 2 9" xfId="1477"/>
    <cellStyle name="Input 2 3 3" xfId="1457"/>
    <cellStyle name="Input 3 2" xfId="881"/>
    <cellStyle name="Input 3 2 2" xfId="1027"/>
    <cellStyle name="Input 3 2 2 2" xfId="1049"/>
    <cellStyle name="Input 3 2 2 2 2" xfId="1135"/>
    <cellStyle name="Input 3 2 2 2 2 2" xfId="1581"/>
    <cellStyle name="Input 3 2 2 2 3" xfId="1178"/>
    <cellStyle name="Input 3 2 2 2 3 2" xfId="1622"/>
    <cellStyle name="Input 3 2 2 2 4" xfId="1223"/>
    <cellStyle name="Input 3 2 2 2 4 2" xfId="1665"/>
    <cellStyle name="Input 3 2 2 2 5" xfId="1287"/>
    <cellStyle name="Input 3 2 2 2 5 2" xfId="1726"/>
    <cellStyle name="Input 3 2 2 2 6" xfId="1351"/>
    <cellStyle name="Input 3 2 2 2 6 2" xfId="1787"/>
    <cellStyle name="Input 3 2 2 2 7" xfId="1415"/>
    <cellStyle name="Input 3 2 2 2 7 2" xfId="1848"/>
    <cellStyle name="Input 3 2 2 2 8" xfId="1499"/>
    <cellStyle name="Input 3 2 2 3" xfId="1070"/>
    <cellStyle name="Input 3 2 2 3 2" xfId="1156"/>
    <cellStyle name="Input 3 2 2 3 2 2" xfId="1601"/>
    <cellStyle name="Input 3 2 2 3 3" xfId="1199"/>
    <cellStyle name="Input 3 2 2 3 3 2" xfId="1642"/>
    <cellStyle name="Input 3 2 2 3 4" xfId="1244"/>
    <cellStyle name="Input 3 2 2 3 4 2" xfId="1685"/>
    <cellStyle name="Input 3 2 2 3 5" xfId="1308"/>
    <cellStyle name="Input 3 2 2 3 5 2" xfId="1746"/>
    <cellStyle name="Input 3 2 2 3 6" xfId="1372"/>
    <cellStyle name="Input 3 2 2 3 6 2" xfId="1807"/>
    <cellStyle name="Input 3 2 2 3 7" xfId="1436"/>
    <cellStyle name="Input 3 2 2 3 7 2" xfId="1868"/>
    <cellStyle name="Input 3 2 2 3 8" xfId="1519"/>
    <cellStyle name="Input 3 2 2 4" xfId="1113"/>
    <cellStyle name="Input 3 2 2 4 2" xfId="1560"/>
    <cellStyle name="Input 3 2 2 5" xfId="1087"/>
    <cellStyle name="Input 3 2 2 5 2" xfId="1535"/>
    <cellStyle name="Input 3 2 2 6" xfId="1265"/>
    <cellStyle name="Input 3 2 2 6 2" xfId="1705"/>
    <cellStyle name="Input 3 2 2 7" xfId="1329"/>
    <cellStyle name="Input 3 2 2 7 2" xfId="1766"/>
    <cellStyle name="Input 3 2 2 8" xfId="1393"/>
    <cellStyle name="Input 3 2 2 8 2" xfId="1827"/>
    <cellStyle name="Input 3 2 2 9" xfId="1478"/>
    <cellStyle name="Input 3 2 3" xfId="1458"/>
    <cellStyle name="Input 3 3" xfId="882"/>
    <cellStyle name="Input 3 3 2" xfId="1028"/>
    <cellStyle name="Input 3 3 2 2" xfId="1050"/>
    <cellStyle name="Input 3 3 2 2 2" xfId="1136"/>
    <cellStyle name="Input 3 3 2 2 2 2" xfId="1582"/>
    <cellStyle name="Input 3 3 2 2 3" xfId="1179"/>
    <cellStyle name="Input 3 3 2 2 3 2" xfId="1623"/>
    <cellStyle name="Input 3 3 2 2 4" xfId="1224"/>
    <cellStyle name="Input 3 3 2 2 4 2" xfId="1666"/>
    <cellStyle name="Input 3 3 2 2 5" xfId="1288"/>
    <cellStyle name="Input 3 3 2 2 5 2" xfId="1727"/>
    <cellStyle name="Input 3 3 2 2 6" xfId="1352"/>
    <cellStyle name="Input 3 3 2 2 6 2" xfId="1788"/>
    <cellStyle name="Input 3 3 2 2 7" xfId="1416"/>
    <cellStyle name="Input 3 3 2 2 7 2" xfId="1849"/>
    <cellStyle name="Input 3 3 2 2 8" xfId="1500"/>
    <cellStyle name="Input 3 3 2 3" xfId="1071"/>
    <cellStyle name="Input 3 3 2 3 2" xfId="1157"/>
    <cellStyle name="Input 3 3 2 3 2 2" xfId="1602"/>
    <cellStyle name="Input 3 3 2 3 3" xfId="1200"/>
    <cellStyle name="Input 3 3 2 3 3 2" xfId="1643"/>
    <cellStyle name="Input 3 3 2 3 4" xfId="1245"/>
    <cellStyle name="Input 3 3 2 3 4 2" xfId="1686"/>
    <cellStyle name="Input 3 3 2 3 5" xfId="1309"/>
    <cellStyle name="Input 3 3 2 3 5 2" xfId="1747"/>
    <cellStyle name="Input 3 3 2 3 6" xfId="1373"/>
    <cellStyle name="Input 3 3 2 3 6 2" xfId="1808"/>
    <cellStyle name="Input 3 3 2 3 7" xfId="1437"/>
    <cellStyle name="Input 3 3 2 3 7 2" xfId="1869"/>
    <cellStyle name="Input 3 3 2 3 8" xfId="1520"/>
    <cellStyle name="Input 3 3 2 4" xfId="1114"/>
    <cellStyle name="Input 3 3 2 4 2" xfId="1561"/>
    <cellStyle name="Input 3 3 2 5" xfId="1088"/>
    <cellStyle name="Input 3 3 2 5 2" xfId="1536"/>
    <cellStyle name="Input 3 3 2 6" xfId="1266"/>
    <cellStyle name="Input 3 3 2 6 2" xfId="1706"/>
    <cellStyle name="Input 3 3 2 7" xfId="1330"/>
    <cellStyle name="Input 3 3 2 7 2" xfId="1767"/>
    <cellStyle name="Input 3 3 2 8" xfId="1394"/>
    <cellStyle name="Input 3 3 2 8 2" xfId="1828"/>
    <cellStyle name="Input 3 3 2 9" xfId="1479"/>
    <cellStyle name="Input 3 3 3" xfId="1459"/>
    <cellStyle name="Input Box" xfId="157"/>
    <cellStyle name="input(0)" xfId="158"/>
    <cellStyle name="Input(2)" xfId="159"/>
    <cellStyle name="Interface" xfId="160"/>
    <cellStyle name="LineItemValue" xfId="161"/>
    <cellStyle name="Lines" xfId="162"/>
    <cellStyle name="Lines 2" xfId="163"/>
    <cellStyle name="Lines 3" xfId="164"/>
    <cellStyle name="Linked Cell 2 2" xfId="883"/>
    <cellStyle name="Linked Cell 2 3" xfId="884"/>
    <cellStyle name="Linked Cell 3 2" xfId="885"/>
    <cellStyle name="Linked Cell 3 3" xfId="886"/>
    <cellStyle name="Milliers [0]_laroux" xfId="647"/>
    <cellStyle name="Milliers_laroux" xfId="648"/>
    <cellStyle name="Monétaire [0]_laroux" xfId="649"/>
    <cellStyle name="Monétaire_laroux" xfId="650"/>
    <cellStyle name="Neutral 2 2" xfId="887"/>
    <cellStyle name="Neutral 2 3" xfId="888"/>
    <cellStyle name="Neutral 3 2" xfId="889"/>
    <cellStyle name="Neutral 3 3" xfId="890"/>
    <cellStyle name="New_normal" xfId="165"/>
    <cellStyle name="no dec" xfId="651"/>
    <cellStyle name="Normal" xfId="0" builtinId="0"/>
    <cellStyle name="Normal - Style1" xfId="166"/>
    <cellStyle name="Normal - Style1 2" xfId="891"/>
    <cellStyle name="Normal - Style2" xfId="167"/>
    <cellStyle name="Normal - Style3" xfId="168"/>
    <cellStyle name="Normal - Style4" xfId="169"/>
    <cellStyle name="Normal - Style5" xfId="170"/>
    <cellStyle name="Normal 10" xfId="171"/>
    <cellStyle name="Normal 10 10" xfId="172"/>
    <cellStyle name="Normal 10 11" xfId="173"/>
    <cellStyle name="Normal 10 12" xfId="174"/>
    <cellStyle name="Normal 10 13" xfId="892"/>
    <cellStyle name="Normal 10 2" xfId="175"/>
    <cellStyle name="Normal 10 2 2" xfId="893"/>
    <cellStyle name="Normal 10 3" xfId="176"/>
    <cellStyle name="Normal 10 3 2" xfId="894"/>
    <cellStyle name="Normal 10 4" xfId="177"/>
    <cellStyle name="Normal 10 5" xfId="178"/>
    <cellStyle name="Normal 10 6" xfId="179"/>
    <cellStyle name="Normal 10 7" xfId="180"/>
    <cellStyle name="Normal 10 8" xfId="181"/>
    <cellStyle name="Normal 10 9" xfId="182"/>
    <cellStyle name="Normal 10_ACCT" xfId="652"/>
    <cellStyle name="Normal 100" xfId="895"/>
    <cellStyle name="Normal 101" xfId="896"/>
    <cellStyle name="Normal 102" xfId="897"/>
    <cellStyle name="Normal 103" xfId="898"/>
    <cellStyle name="Normal 104" xfId="899"/>
    <cellStyle name="Normal 105" xfId="900"/>
    <cellStyle name="Normal 106" xfId="1012"/>
    <cellStyle name="Normal 107" xfId="1014"/>
    <cellStyle name="Normal 108" xfId="1016"/>
    <cellStyle name="Normal 109" xfId="1018"/>
    <cellStyle name="Normal 11" xfId="183"/>
    <cellStyle name="Normal 11 10" xfId="184"/>
    <cellStyle name="Normal 11 11" xfId="185"/>
    <cellStyle name="Normal 11 12" xfId="186"/>
    <cellStyle name="Normal 11 13" xfId="901"/>
    <cellStyle name="Normal 11 14" xfId="902"/>
    <cellStyle name="Normal 11 2" xfId="187"/>
    <cellStyle name="Normal 11 3" xfId="188"/>
    <cellStyle name="Normal 11 4" xfId="189"/>
    <cellStyle name="Normal 11 5" xfId="190"/>
    <cellStyle name="Normal 11 6" xfId="191"/>
    <cellStyle name="Normal 11 7" xfId="192"/>
    <cellStyle name="Normal 11 8" xfId="193"/>
    <cellStyle name="Normal 11 9" xfId="194"/>
    <cellStyle name="Normal 110" xfId="55"/>
    <cellStyle name="Normal 111" xfId="1884"/>
    <cellStyle name="Normal 112" xfId="1885"/>
    <cellStyle name="Normal 12" xfId="195"/>
    <cellStyle name="Normal 12 10" xfId="196"/>
    <cellStyle name="Normal 12 11" xfId="197"/>
    <cellStyle name="Normal 12 12" xfId="198"/>
    <cellStyle name="Normal 12 13" xfId="903"/>
    <cellStyle name="Normal 12 2" xfId="199"/>
    <cellStyle name="Normal 12 3" xfId="200"/>
    <cellStyle name="Normal 12 4" xfId="201"/>
    <cellStyle name="Normal 12 5" xfId="202"/>
    <cellStyle name="Normal 12 6" xfId="203"/>
    <cellStyle name="Normal 12 7" xfId="204"/>
    <cellStyle name="Normal 12 8" xfId="205"/>
    <cellStyle name="Normal 12 9" xfId="206"/>
    <cellStyle name="Normal 13" xfId="207"/>
    <cellStyle name="Normal 13 10" xfId="208"/>
    <cellStyle name="Normal 13 11" xfId="209"/>
    <cellStyle name="Normal 13 12" xfId="210"/>
    <cellStyle name="Normal 13 13" xfId="904"/>
    <cellStyle name="Normal 13 2" xfId="211"/>
    <cellStyle name="Normal 13 3" xfId="212"/>
    <cellStyle name="Normal 13 4" xfId="213"/>
    <cellStyle name="Normal 13 5" xfId="214"/>
    <cellStyle name="Normal 13 6" xfId="215"/>
    <cellStyle name="Normal 13 7" xfId="216"/>
    <cellStyle name="Normal 13 8" xfId="217"/>
    <cellStyle name="Normal 13 9" xfId="218"/>
    <cellStyle name="Normal 14" xfId="219"/>
    <cellStyle name="Normal 14 10" xfId="220"/>
    <cellStyle name="Normal 14 11" xfId="221"/>
    <cellStyle name="Normal 14 12" xfId="222"/>
    <cellStyle name="Normal 14 13" xfId="905"/>
    <cellStyle name="Normal 14 2" xfId="223"/>
    <cellStyle name="Normal 14 3" xfId="224"/>
    <cellStyle name="Normal 14 4" xfId="225"/>
    <cellStyle name="Normal 14 5" xfId="226"/>
    <cellStyle name="Normal 14 6" xfId="227"/>
    <cellStyle name="Normal 14 7" xfId="228"/>
    <cellStyle name="Normal 14 8" xfId="229"/>
    <cellStyle name="Normal 14 9" xfId="230"/>
    <cellStyle name="Normal 15" xfId="231"/>
    <cellStyle name="Normal 15 10" xfId="232"/>
    <cellStyle name="Normal 15 11" xfId="233"/>
    <cellStyle name="Normal 15 12" xfId="234"/>
    <cellStyle name="Normal 15 13" xfId="906"/>
    <cellStyle name="Normal 15 2" xfId="235"/>
    <cellStyle name="Normal 15 3" xfId="236"/>
    <cellStyle name="Normal 15 4" xfId="237"/>
    <cellStyle name="Normal 15 5" xfId="238"/>
    <cellStyle name="Normal 15 6" xfId="239"/>
    <cellStyle name="Normal 15 7" xfId="240"/>
    <cellStyle name="Normal 15 8" xfId="241"/>
    <cellStyle name="Normal 15 9" xfId="242"/>
    <cellStyle name="Normal 16" xfId="243"/>
    <cellStyle name="Normal 16 10" xfId="244"/>
    <cellStyle name="Normal 16 11" xfId="245"/>
    <cellStyle name="Normal 16 12" xfId="246"/>
    <cellStyle name="Normal 16 13" xfId="907"/>
    <cellStyle name="Normal 16 2" xfId="247"/>
    <cellStyle name="Normal 16 3" xfId="248"/>
    <cellStyle name="Normal 16 4" xfId="249"/>
    <cellStyle name="Normal 16 5" xfId="250"/>
    <cellStyle name="Normal 16 6" xfId="251"/>
    <cellStyle name="Normal 16 7" xfId="252"/>
    <cellStyle name="Normal 16 8" xfId="253"/>
    <cellStyle name="Normal 16 9" xfId="254"/>
    <cellStyle name="Normal 17" xfId="255"/>
    <cellStyle name="Normal 17 10" xfId="256"/>
    <cellStyle name="Normal 17 11" xfId="257"/>
    <cellStyle name="Normal 17 12" xfId="258"/>
    <cellStyle name="Normal 17 13" xfId="908"/>
    <cellStyle name="Normal 17 2" xfId="259"/>
    <cellStyle name="Normal 17 3" xfId="260"/>
    <cellStyle name="Normal 17 4" xfId="261"/>
    <cellStyle name="Normal 17 5" xfId="262"/>
    <cellStyle name="Normal 17 6" xfId="263"/>
    <cellStyle name="Normal 17 7" xfId="264"/>
    <cellStyle name="Normal 17 8" xfId="265"/>
    <cellStyle name="Normal 17 9" xfId="266"/>
    <cellStyle name="Normal 18" xfId="267"/>
    <cellStyle name="Normal 18 10" xfId="268"/>
    <cellStyle name="Normal 18 11" xfId="269"/>
    <cellStyle name="Normal 18 12" xfId="270"/>
    <cellStyle name="Normal 18 13" xfId="909"/>
    <cellStyle name="Normal 18 2" xfId="271"/>
    <cellStyle name="Normal 18 3" xfId="272"/>
    <cellStyle name="Normal 18 4" xfId="273"/>
    <cellStyle name="Normal 18 5" xfId="274"/>
    <cellStyle name="Normal 18 6" xfId="275"/>
    <cellStyle name="Normal 18 7" xfId="276"/>
    <cellStyle name="Normal 18 8" xfId="277"/>
    <cellStyle name="Normal 18 9" xfId="278"/>
    <cellStyle name="Normal 19" xfId="279"/>
    <cellStyle name="Normal 19 10" xfId="280"/>
    <cellStyle name="Normal 19 11" xfId="281"/>
    <cellStyle name="Normal 19 12" xfId="282"/>
    <cellStyle name="Normal 19 13" xfId="910"/>
    <cellStyle name="Normal 19 2" xfId="283"/>
    <cellStyle name="Normal 19 3" xfId="284"/>
    <cellStyle name="Normal 19 4" xfId="285"/>
    <cellStyle name="Normal 19 5" xfId="286"/>
    <cellStyle name="Normal 19 6" xfId="287"/>
    <cellStyle name="Normal 19 7" xfId="288"/>
    <cellStyle name="Normal 19 8" xfId="289"/>
    <cellStyle name="Normal 19 9" xfId="290"/>
    <cellStyle name="Normal 2" xfId="4"/>
    <cellStyle name="Normal 2 10" xfId="7"/>
    <cellStyle name="Normal 2 10 2" xfId="291"/>
    <cellStyle name="Normal 2 11" xfId="292"/>
    <cellStyle name="Normal 2 12" xfId="293"/>
    <cellStyle name="Normal 2 13" xfId="294"/>
    <cellStyle name="Normal 2 14" xfId="295"/>
    <cellStyle name="Normal 2 15" xfId="296"/>
    <cellStyle name="Normal 2 16" xfId="1882"/>
    <cellStyle name="Normal 2 2" xfId="10"/>
    <cellStyle name="Normal 2 2 10" xfId="298"/>
    <cellStyle name="Normal 2 2 11" xfId="299"/>
    <cellStyle name="Normal 2 2 12" xfId="300"/>
    <cellStyle name="Normal 2 2 13" xfId="301"/>
    <cellStyle name="Normal 2 2 14" xfId="302"/>
    <cellStyle name="Normal 2 2 15" xfId="303"/>
    <cellStyle name="Normal 2 2 16" xfId="304"/>
    <cellStyle name="Normal 2 2 17" xfId="305"/>
    <cellStyle name="Normal 2 2 18" xfId="306"/>
    <cellStyle name="Normal 2 2 19" xfId="307"/>
    <cellStyle name="Normal 2 2 2" xfId="308"/>
    <cellStyle name="Normal 2 2 20" xfId="309"/>
    <cellStyle name="Normal 2 2 21" xfId="310"/>
    <cellStyle name="Normal 2 2 22" xfId="311"/>
    <cellStyle name="Normal 2 2 23" xfId="312"/>
    <cellStyle name="Normal 2 2 24" xfId="313"/>
    <cellStyle name="Normal 2 2 25" xfId="314"/>
    <cellStyle name="Normal 2 2 26" xfId="315"/>
    <cellStyle name="Normal 2 2 27" xfId="316"/>
    <cellStyle name="Normal 2 2 28" xfId="317"/>
    <cellStyle name="Normal 2 2 29" xfId="318"/>
    <cellStyle name="Normal 2 2 3" xfId="319"/>
    <cellStyle name="Normal 2 2 30" xfId="320"/>
    <cellStyle name="Normal 2 2 31" xfId="321"/>
    <cellStyle name="Normal 2 2 32" xfId="322"/>
    <cellStyle name="Normal 2 2 33" xfId="323"/>
    <cellStyle name="Normal 2 2 34" xfId="324"/>
    <cellStyle name="Normal 2 2 35" xfId="325"/>
    <cellStyle name="Normal 2 2 36" xfId="326"/>
    <cellStyle name="Normal 2 2 37" xfId="327"/>
    <cellStyle name="Normal 2 2 38" xfId="328"/>
    <cellStyle name="Normal 2 2 39" xfId="329"/>
    <cellStyle name="Normal 2 2 4" xfId="330"/>
    <cellStyle name="Normal 2 2 40" xfId="331"/>
    <cellStyle name="Normal 2 2 41" xfId="332"/>
    <cellStyle name="Normal 2 2 42" xfId="333"/>
    <cellStyle name="Normal 2 2 43" xfId="334"/>
    <cellStyle name="Normal 2 2 44" xfId="335"/>
    <cellStyle name="Normal 2 2 45" xfId="336"/>
    <cellStyle name="Normal 2 2 46" xfId="337"/>
    <cellStyle name="Normal 2 2 47" xfId="338"/>
    <cellStyle name="Normal 2 2 48" xfId="339"/>
    <cellStyle name="Normal 2 2 49" xfId="653"/>
    <cellStyle name="Normal 2 2 5" xfId="340"/>
    <cellStyle name="Normal 2 2 50" xfId="654"/>
    <cellStyle name="Normal 2 2 51" xfId="297"/>
    <cellStyle name="Normal 2 2 6" xfId="341"/>
    <cellStyle name="Normal 2 2 7" xfId="342"/>
    <cellStyle name="Normal 2 2 8" xfId="343"/>
    <cellStyle name="Normal 2 2 9" xfId="344"/>
    <cellStyle name="Normal 2 2_ACCT" xfId="345"/>
    <cellStyle name="Normal 2 3" xfId="18"/>
    <cellStyle name="Normal 2 3 10" xfId="347"/>
    <cellStyle name="Normal 2 3 11" xfId="348"/>
    <cellStyle name="Normal 2 3 12" xfId="349"/>
    <cellStyle name="Normal 2 3 13" xfId="346"/>
    <cellStyle name="Normal 2 3 2" xfId="350"/>
    <cellStyle name="Normal 2 3 3" xfId="351"/>
    <cellStyle name="Normal 2 3 4" xfId="352"/>
    <cellStyle name="Normal 2 3 5" xfId="353"/>
    <cellStyle name="Normal 2 3 6" xfId="354"/>
    <cellStyle name="Normal 2 3 7" xfId="355"/>
    <cellStyle name="Normal 2 3 8" xfId="356"/>
    <cellStyle name="Normal 2 3 9" xfId="357"/>
    <cellStyle name="Normal 2 3_CPT" xfId="358"/>
    <cellStyle name="Normal 2 4" xfId="19"/>
    <cellStyle name="Normal 2 4 2" xfId="359"/>
    <cellStyle name="Normal 2 5" xfId="20"/>
    <cellStyle name="Normal 2 5 2" xfId="360"/>
    <cellStyle name="Normal 2 6" xfId="21"/>
    <cellStyle name="Normal 2 6 2" xfId="361"/>
    <cellStyle name="Normal 2 7" xfId="22"/>
    <cellStyle name="Normal 2 7 2" xfId="362"/>
    <cellStyle name="Normal 2 8" xfId="23"/>
    <cellStyle name="Normal 2 8 2" xfId="363"/>
    <cellStyle name="Normal 2 9" xfId="24"/>
    <cellStyle name="Normal 2 9 2" xfId="364"/>
    <cellStyle name="Normal 2_ACCT" xfId="655"/>
    <cellStyle name="Normal 20" xfId="365"/>
    <cellStyle name="Normal 20 10" xfId="366"/>
    <cellStyle name="Normal 20 11" xfId="367"/>
    <cellStyle name="Normal 20 12" xfId="368"/>
    <cellStyle name="Normal 20 13" xfId="911"/>
    <cellStyle name="Normal 20 2" xfId="369"/>
    <cellStyle name="Normal 20 3" xfId="370"/>
    <cellStyle name="Normal 20 4" xfId="371"/>
    <cellStyle name="Normal 20 5" xfId="372"/>
    <cellStyle name="Normal 20 6" xfId="373"/>
    <cellStyle name="Normal 20 7" xfId="374"/>
    <cellStyle name="Normal 20 8" xfId="375"/>
    <cellStyle name="Normal 20 9" xfId="376"/>
    <cellStyle name="Normal 21" xfId="377"/>
    <cellStyle name="Normal 21 2" xfId="912"/>
    <cellStyle name="Normal 22" xfId="378"/>
    <cellStyle name="Normal 22 2" xfId="913"/>
    <cellStyle name="Normal 23" xfId="379"/>
    <cellStyle name="Normal 23 2" xfId="914"/>
    <cellStyle name="Normal 24" xfId="380"/>
    <cellStyle name="Normal 24 2" xfId="915"/>
    <cellStyle name="Normal 25" xfId="381"/>
    <cellStyle name="Normal 25 2" xfId="916"/>
    <cellStyle name="Normal 26" xfId="382"/>
    <cellStyle name="Normal 26 2" xfId="917"/>
    <cellStyle name="Normal 27" xfId="383"/>
    <cellStyle name="Normal 27 2" xfId="918"/>
    <cellStyle name="Normal 28" xfId="384"/>
    <cellStyle name="Normal 28 2" xfId="919"/>
    <cellStyle name="Normal 29" xfId="385"/>
    <cellStyle name="Normal 29 2" xfId="920"/>
    <cellStyle name="Normal 3" xfId="8"/>
    <cellStyle name="Normal 3 2" xfId="25"/>
    <cellStyle name="Normal 3 2 2" xfId="921"/>
    <cellStyle name="Normal 3 2 3" xfId="922"/>
    <cellStyle name="Normal 3 2 4" xfId="923"/>
    <cellStyle name="Normal 3 2 5" xfId="387"/>
    <cellStyle name="Normal 3 2_MTD Receipts Dashboard" xfId="924"/>
    <cellStyle name="Normal 3 3" xfId="44"/>
    <cellStyle name="Normal 3 3 2" xfId="925"/>
    <cellStyle name="Normal 3 3 3" xfId="388"/>
    <cellStyle name="Normal 3 4" xfId="36"/>
    <cellStyle name="Normal 3 4 2" xfId="926"/>
    <cellStyle name="Normal 3 4 2 2" xfId="927"/>
    <cellStyle name="Normal 3 4 3" xfId="386"/>
    <cellStyle name="Normal 3 5" xfId="928"/>
    <cellStyle name="Normal 3 5 2" xfId="929"/>
    <cellStyle name="Normal 3 6" xfId="66"/>
    <cellStyle name="Normal 3 8" xfId="930"/>
    <cellStyle name="Normal 3_ACCT" xfId="656"/>
    <cellStyle name="Normal 30" xfId="389"/>
    <cellStyle name="Normal 30 2" xfId="931"/>
    <cellStyle name="Normal 31" xfId="390"/>
    <cellStyle name="Normal 31 2" xfId="932"/>
    <cellStyle name="Normal 32" xfId="391"/>
    <cellStyle name="Normal 32 2" xfId="933"/>
    <cellStyle name="Normal 33" xfId="392"/>
    <cellStyle name="Normal 33 2" xfId="934"/>
    <cellStyle name="Normal 34" xfId="393"/>
    <cellStyle name="Normal 35" xfId="394"/>
    <cellStyle name="Normal 36" xfId="395"/>
    <cellStyle name="Normal 37" xfId="396"/>
    <cellStyle name="Normal 38" xfId="397"/>
    <cellStyle name="Normal 39" xfId="398"/>
    <cellStyle name="Normal 4" xfId="26"/>
    <cellStyle name="Normal 4 2" xfId="27"/>
    <cellStyle name="Normal 4 2 2" xfId="400"/>
    <cellStyle name="Normal 4 3" xfId="401"/>
    <cellStyle name="Normal 4 4" xfId="935"/>
    <cellStyle name="Normal 4 5" xfId="399"/>
    <cellStyle name="Normal 4_ACCT" xfId="657"/>
    <cellStyle name="Normal 40" xfId="402"/>
    <cellStyle name="Normal 41" xfId="403"/>
    <cellStyle name="Normal 42" xfId="404"/>
    <cellStyle name="Normal 43" xfId="405"/>
    <cellStyle name="Normal 44" xfId="406"/>
    <cellStyle name="Normal 45" xfId="407"/>
    <cellStyle name="Normal 46" xfId="408"/>
    <cellStyle name="Normal 47" xfId="409"/>
    <cellStyle name="Normal 48" xfId="410"/>
    <cellStyle name="Normal 49" xfId="411"/>
    <cellStyle name="Normal 5" xfId="28"/>
    <cellStyle name="Normal 5 2" xfId="29"/>
    <cellStyle name="Normal 5 2 2" xfId="412"/>
    <cellStyle name="Normal 5 3" xfId="413"/>
    <cellStyle name="Normal 5 4" xfId="936"/>
    <cellStyle name="Normal 5 5" xfId="64"/>
    <cellStyle name="Normal 5_ACCT" xfId="658"/>
    <cellStyle name="Normal 50" xfId="414"/>
    <cellStyle name="Normal 51" xfId="415"/>
    <cellStyle name="Normal 52" xfId="416"/>
    <cellStyle name="Normal 53" xfId="417"/>
    <cellStyle name="Normal 54" xfId="418"/>
    <cellStyle name="Normal 55" xfId="419"/>
    <cellStyle name="Normal 56" xfId="420"/>
    <cellStyle name="Normal 57" xfId="421"/>
    <cellStyle name="Normal 58" xfId="422"/>
    <cellStyle name="Normal 59" xfId="423"/>
    <cellStyle name="Normal 6" xfId="30"/>
    <cellStyle name="Normal 6 2" xfId="46"/>
    <cellStyle name="Normal 6 2 2" xfId="937"/>
    <cellStyle name="Normal 6 2 3" xfId="425"/>
    <cellStyle name="Normal 6 3" xfId="38"/>
    <cellStyle name="Normal 6 3 2" xfId="426"/>
    <cellStyle name="Normal 6 4" xfId="424"/>
    <cellStyle name="Normal 6 5" xfId="938"/>
    <cellStyle name="Normal 6 6" xfId="65"/>
    <cellStyle name="Normal 6_ACCT" xfId="659"/>
    <cellStyle name="Normal 60" xfId="427"/>
    <cellStyle name="Normal 61" xfId="428"/>
    <cellStyle name="Normal 62" xfId="429"/>
    <cellStyle name="Normal 63" xfId="430"/>
    <cellStyle name="Normal 64" xfId="431"/>
    <cellStyle name="Normal 65" xfId="432"/>
    <cellStyle name="Normal 66" xfId="433"/>
    <cellStyle name="Normal 67" xfId="434"/>
    <cellStyle name="Normal 68" xfId="435"/>
    <cellStyle name="Normal 69" xfId="436"/>
    <cellStyle name="Normal 7" xfId="32"/>
    <cellStyle name="Normal 7 10" xfId="438"/>
    <cellStyle name="Normal 7 11" xfId="439"/>
    <cellStyle name="Normal 7 12" xfId="440"/>
    <cellStyle name="Normal 7 13" xfId="939"/>
    <cellStyle name="Normal 7 14" xfId="437"/>
    <cellStyle name="Normal 7 2" xfId="48"/>
    <cellStyle name="Normal 7 2 2" xfId="441"/>
    <cellStyle name="Normal 7 3" xfId="40"/>
    <cellStyle name="Normal 7 3 2" xfId="442"/>
    <cellStyle name="Normal 7 4" xfId="443"/>
    <cellStyle name="Normal 7 5" xfId="444"/>
    <cellStyle name="Normal 7 6" xfId="445"/>
    <cellStyle name="Normal 7 7" xfId="446"/>
    <cellStyle name="Normal 7 8" xfId="447"/>
    <cellStyle name="Normal 7 9" xfId="448"/>
    <cellStyle name="Normal 7_ACCT" xfId="660"/>
    <cellStyle name="Normal 70" xfId="449"/>
    <cellStyle name="Normal 71" xfId="450"/>
    <cellStyle name="Normal 72" xfId="451"/>
    <cellStyle name="Normal 73" xfId="661"/>
    <cellStyle name="Normal 74" xfId="662"/>
    <cellStyle name="Normal 75" xfId="940"/>
    <cellStyle name="Normal 75 2" xfId="941"/>
    <cellStyle name="Normal 76" xfId="942"/>
    <cellStyle name="Normal 77" xfId="943"/>
    <cellStyle name="Normal 78" xfId="944"/>
    <cellStyle name="Normal 79" xfId="945"/>
    <cellStyle name="Normal 79 2" xfId="946"/>
    <cellStyle name="Normal 8" xfId="34"/>
    <cellStyle name="Normal 8 10" xfId="453"/>
    <cellStyle name="Normal 8 11" xfId="454"/>
    <cellStyle name="Normal 8 12" xfId="455"/>
    <cellStyle name="Normal 8 13" xfId="947"/>
    <cellStyle name="Normal 8 14" xfId="452"/>
    <cellStyle name="Normal 8 2" xfId="50"/>
    <cellStyle name="Normal 8 2 2" xfId="456"/>
    <cellStyle name="Normal 8 3" xfId="42"/>
    <cellStyle name="Normal 8 3 2" xfId="457"/>
    <cellStyle name="Normal 8 4" xfId="458"/>
    <cellStyle name="Normal 8 5" xfId="459"/>
    <cellStyle name="Normal 8 6" xfId="460"/>
    <cellStyle name="Normal 8 7" xfId="461"/>
    <cellStyle name="Normal 8 8" xfId="462"/>
    <cellStyle name="Normal 8 9" xfId="463"/>
    <cellStyle name="Normal 8_ACCT" xfId="663"/>
    <cellStyle name="Normal 80" xfId="948"/>
    <cellStyle name="Normal 81" xfId="949"/>
    <cellStyle name="Normal 82" xfId="950"/>
    <cellStyle name="Normal 83" xfId="951"/>
    <cellStyle name="Normal 84" xfId="952"/>
    <cellStyle name="Normal 85" xfId="953"/>
    <cellStyle name="Normal 86" xfId="954"/>
    <cellStyle name="Normal 87" xfId="955"/>
    <cellStyle name="Normal 88" xfId="956"/>
    <cellStyle name="Normal 89" xfId="957"/>
    <cellStyle name="Normal 9" xfId="53"/>
    <cellStyle name="Normal 9 10" xfId="465"/>
    <cellStyle name="Normal 9 11" xfId="466"/>
    <cellStyle name="Normal 9 12" xfId="467"/>
    <cellStyle name="Normal 9 13" xfId="958"/>
    <cellStyle name="Normal 9 14" xfId="464"/>
    <cellStyle name="Normal 9 2" xfId="468"/>
    <cellStyle name="Normal 9 3" xfId="469"/>
    <cellStyle name="Normal 9 4" xfId="470"/>
    <cellStyle name="Normal 9 5" xfId="471"/>
    <cellStyle name="Normal 9 6" xfId="472"/>
    <cellStyle name="Normal 9 7" xfId="473"/>
    <cellStyle name="Normal 9 8" xfId="474"/>
    <cellStyle name="Normal 9 9" xfId="475"/>
    <cellStyle name="Normal 9_ACCT" xfId="664"/>
    <cellStyle name="Normal 90" xfId="959"/>
    <cellStyle name="Normal 91" xfId="960"/>
    <cellStyle name="Normal 92" xfId="961"/>
    <cellStyle name="Normal 93" xfId="962"/>
    <cellStyle name="Normal 94" xfId="963"/>
    <cellStyle name="Normal 95" xfId="964"/>
    <cellStyle name="Normal 96" xfId="965"/>
    <cellStyle name="Normal 97" xfId="966"/>
    <cellStyle name="Normal 98" xfId="967"/>
    <cellStyle name="Normal 99" xfId="968"/>
    <cellStyle name="Normal_CD-Oxford2" xfId="2"/>
    <cellStyle name="Note 2" xfId="665"/>
    <cellStyle name="Note 2 2" xfId="969"/>
    <cellStyle name="Note 2 2 2" xfId="1029"/>
    <cellStyle name="Note 2 2 2 2" xfId="1051"/>
    <cellStyle name="Note 2 2 2 2 2" xfId="1137"/>
    <cellStyle name="Note 2 2 2 2 2 2" xfId="1583"/>
    <cellStyle name="Note 2 2 2 2 3" xfId="1180"/>
    <cellStyle name="Note 2 2 2 2 3 2" xfId="1624"/>
    <cellStyle name="Note 2 2 2 2 4" xfId="1225"/>
    <cellStyle name="Note 2 2 2 2 4 2" xfId="1667"/>
    <cellStyle name="Note 2 2 2 2 5" xfId="1289"/>
    <cellStyle name="Note 2 2 2 2 5 2" xfId="1728"/>
    <cellStyle name="Note 2 2 2 2 6" xfId="1353"/>
    <cellStyle name="Note 2 2 2 2 6 2" xfId="1789"/>
    <cellStyle name="Note 2 2 2 2 7" xfId="1417"/>
    <cellStyle name="Note 2 2 2 2 7 2" xfId="1850"/>
    <cellStyle name="Note 2 2 2 2 8" xfId="1501"/>
    <cellStyle name="Note 2 2 2 3" xfId="1072"/>
    <cellStyle name="Note 2 2 2 3 2" xfId="1158"/>
    <cellStyle name="Note 2 2 2 3 2 2" xfId="1603"/>
    <cellStyle name="Note 2 2 2 3 3" xfId="1201"/>
    <cellStyle name="Note 2 2 2 3 3 2" xfId="1644"/>
    <cellStyle name="Note 2 2 2 3 4" xfId="1246"/>
    <cellStyle name="Note 2 2 2 3 4 2" xfId="1687"/>
    <cellStyle name="Note 2 2 2 3 5" xfId="1310"/>
    <cellStyle name="Note 2 2 2 3 5 2" xfId="1748"/>
    <cellStyle name="Note 2 2 2 3 6" xfId="1374"/>
    <cellStyle name="Note 2 2 2 3 6 2" xfId="1809"/>
    <cellStyle name="Note 2 2 2 3 7" xfId="1438"/>
    <cellStyle name="Note 2 2 2 3 7 2" xfId="1870"/>
    <cellStyle name="Note 2 2 2 3 8" xfId="1521"/>
    <cellStyle name="Note 2 2 2 4" xfId="1115"/>
    <cellStyle name="Note 2 2 2 4 2" xfId="1562"/>
    <cellStyle name="Note 2 2 2 5" xfId="1089"/>
    <cellStyle name="Note 2 2 2 5 2" xfId="1537"/>
    <cellStyle name="Note 2 2 2 6" xfId="1267"/>
    <cellStyle name="Note 2 2 2 6 2" xfId="1707"/>
    <cellStyle name="Note 2 2 2 7" xfId="1331"/>
    <cellStyle name="Note 2 2 2 7 2" xfId="1768"/>
    <cellStyle name="Note 2 2 2 8" xfId="1395"/>
    <cellStyle name="Note 2 2 2 8 2" xfId="1829"/>
    <cellStyle name="Note 2 2 2 9" xfId="1480"/>
    <cellStyle name="Note 2 2 3" xfId="1460"/>
    <cellStyle name="Note 2 3" xfId="970"/>
    <cellStyle name="Note 2 3 2" xfId="1030"/>
    <cellStyle name="Note 2 3 2 2" xfId="1052"/>
    <cellStyle name="Note 2 3 2 2 2" xfId="1138"/>
    <cellStyle name="Note 2 3 2 2 2 2" xfId="1584"/>
    <cellStyle name="Note 2 3 2 2 3" xfId="1181"/>
    <cellStyle name="Note 2 3 2 2 3 2" xfId="1625"/>
    <cellStyle name="Note 2 3 2 2 4" xfId="1226"/>
    <cellStyle name="Note 2 3 2 2 4 2" xfId="1668"/>
    <cellStyle name="Note 2 3 2 2 5" xfId="1290"/>
    <cellStyle name="Note 2 3 2 2 5 2" xfId="1729"/>
    <cellStyle name="Note 2 3 2 2 6" xfId="1354"/>
    <cellStyle name="Note 2 3 2 2 6 2" xfId="1790"/>
    <cellStyle name="Note 2 3 2 2 7" xfId="1418"/>
    <cellStyle name="Note 2 3 2 2 7 2" xfId="1851"/>
    <cellStyle name="Note 2 3 2 2 8" xfId="1502"/>
    <cellStyle name="Note 2 3 2 3" xfId="1073"/>
    <cellStyle name="Note 2 3 2 3 2" xfId="1159"/>
    <cellStyle name="Note 2 3 2 3 2 2" xfId="1604"/>
    <cellStyle name="Note 2 3 2 3 3" xfId="1202"/>
    <cellStyle name="Note 2 3 2 3 3 2" xfId="1645"/>
    <cellStyle name="Note 2 3 2 3 4" xfId="1247"/>
    <cellStyle name="Note 2 3 2 3 4 2" xfId="1688"/>
    <cellStyle name="Note 2 3 2 3 5" xfId="1311"/>
    <cellStyle name="Note 2 3 2 3 5 2" xfId="1749"/>
    <cellStyle name="Note 2 3 2 3 6" xfId="1375"/>
    <cellStyle name="Note 2 3 2 3 6 2" xfId="1810"/>
    <cellStyle name="Note 2 3 2 3 7" xfId="1439"/>
    <cellStyle name="Note 2 3 2 3 7 2" xfId="1871"/>
    <cellStyle name="Note 2 3 2 3 8" xfId="1522"/>
    <cellStyle name="Note 2 3 2 4" xfId="1116"/>
    <cellStyle name="Note 2 3 2 4 2" xfId="1563"/>
    <cellStyle name="Note 2 3 2 5" xfId="1090"/>
    <cellStyle name="Note 2 3 2 5 2" xfId="1538"/>
    <cellStyle name="Note 2 3 2 6" xfId="1268"/>
    <cellStyle name="Note 2 3 2 6 2" xfId="1708"/>
    <cellStyle name="Note 2 3 2 7" xfId="1332"/>
    <cellStyle name="Note 2 3 2 7 2" xfId="1769"/>
    <cellStyle name="Note 2 3 2 8" xfId="1396"/>
    <cellStyle name="Note 2 3 2 8 2" xfId="1830"/>
    <cellStyle name="Note 2 3 2 9" xfId="1481"/>
    <cellStyle name="Note 2 3 3" xfId="1461"/>
    <cellStyle name="Note 3" xfId="666"/>
    <cellStyle name="Note 3 2" xfId="971"/>
    <cellStyle name="Note 3 2 2" xfId="1031"/>
    <cellStyle name="Note 3 2 2 2" xfId="1053"/>
    <cellStyle name="Note 3 2 2 2 2" xfId="1139"/>
    <cellStyle name="Note 3 2 2 2 2 2" xfId="1585"/>
    <cellStyle name="Note 3 2 2 2 3" xfId="1182"/>
    <cellStyle name="Note 3 2 2 2 3 2" xfId="1626"/>
    <cellStyle name="Note 3 2 2 2 4" xfId="1227"/>
    <cellStyle name="Note 3 2 2 2 4 2" xfId="1669"/>
    <cellStyle name="Note 3 2 2 2 5" xfId="1291"/>
    <cellStyle name="Note 3 2 2 2 5 2" xfId="1730"/>
    <cellStyle name="Note 3 2 2 2 6" xfId="1355"/>
    <cellStyle name="Note 3 2 2 2 6 2" xfId="1791"/>
    <cellStyle name="Note 3 2 2 2 7" xfId="1419"/>
    <cellStyle name="Note 3 2 2 2 7 2" xfId="1852"/>
    <cellStyle name="Note 3 2 2 2 8" xfId="1503"/>
    <cellStyle name="Note 3 2 2 3" xfId="1074"/>
    <cellStyle name="Note 3 2 2 3 2" xfId="1160"/>
    <cellStyle name="Note 3 2 2 3 2 2" xfId="1605"/>
    <cellStyle name="Note 3 2 2 3 3" xfId="1203"/>
    <cellStyle name="Note 3 2 2 3 3 2" xfId="1646"/>
    <cellStyle name="Note 3 2 2 3 4" xfId="1248"/>
    <cellStyle name="Note 3 2 2 3 4 2" xfId="1689"/>
    <cellStyle name="Note 3 2 2 3 5" xfId="1312"/>
    <cellStyle name="Note 3 2 2 3 5 2" xfId="1750"/>
    <cellStyle name="Note 3 2 2 3 6" xfId="1376"/>
    <cellStyle name="Note 3 2 2 3 6 2" xfId="1811"/>
    <cellStyle name="Note 3 2 2 3 7" xfId="1440"/>
    <cellStyle name="Note 3 2 2 3 7 2" xfId="1872"/>
    <cellStyle name="Note 3 2 2 3 8" xfId="1523"/>
    <cellStyle name="Note 3 2 2 4" xfId="1117"/>
    <cellStyle name="Note 3 2 2 4 2" xfId="1564"/>
    <cellStyle name="Note 3 2 2 5" xfId="1091"/>
    <cellStyle name="Note 3 2 2 5 2" xfId="1539"/>
    <cellStyle name="Note 3 2 2 6" xfId="1269"/>
    <cellStyle name="Note 3 2 2 6 2" xfId="1709"/>
    <cellStyle name="Note 3 2 2 7" xfId="1333"/>
    <cellStyle name="Note 3 2 2 7 2" xfId="1770"/>
    <cellStyle name="Note 3 2 2 8" xfId="1397"/>
    <cellStyle name="Note 3 2 2 8 2" xfId="1831"/>
    <cellStyle name="Note 3 2 2 9" xfId="1482"/>
    <cellStyle name="Note 3 2 3" xfId="1462"/>
    <cellStyle name="Note 3 3" xfId="972"/>
    <cellStyle name="Note 3 3 2" xfId="1032"/>
    <cellStyle name="Note 3 3 2 2" xfId="1054"/>
    <cellStyle name="Note 3 3 2 2 2" xfId="1140"/>
    <cellStyle name="Note 3 3 2 2 2 2" xfId="1586"/>
    <cellStyle name="Note 3 3 2 2 3" xfId="1183"/>
    <cellStyle name="Note 3 3 2 2 3 2" xfId="1627"/>
    <cellStyle name="Note 3 3 2 2 4" xfId="1228"/>
    <cellStyle name="Note 3 3 2 2 4 2" xfId="1670"/>
    <cellStyle name="Note 3 3 2 2 5" xfId="1292"/>
    <cellStyle name="Note 3 3 2 2 5 2" xfId="1731"/>
    <cellStyle name="Note 3 3 2 2 6" xfId="1356"/>
    <cellStyle name="Note 3 3 2 2 6 2" xfId="1792"/>
    <cellStyle name="Note 3 3 2 2 7" xfId="1420"/>
    <cellStyle name="Note 3 3 2 2 7 2" xfId="1853"/>
    <cellStyle name="Note 3 3 2 2 8" xfId="1504"/>
    <cellStyle name="Note 3 3 2 3" xfId="1075"/>
    <cellStyle name="Note 3 3 2 3 2" xfId="1161"/>
    <cellStyle name="Note 3 3 2 3 2 2" xfId="1606"/>
    <cellStyle name="Note 3 3 2 3 3" xfId="1204"/>
    <cellStyle name="Note 3 3 2 3 3 2" xfId="1647"/>
    <cellStyle name="Note 3 3 2 3 4" xfId="1249"/>
    <cellStyle name="Note 3 3 2 3 4 2" xfId="1690"/>
    <cellStyle name="Note 3 3 2 3 5" xfId="1313"/>
    <cellStyle name="Note 3 3 2 3 5 2" xfId="1751"/>
    <cellStyle name="Note 3 3 2 3 6" xfId="1377"/>
    <cellStyle name="Note 3 3 2 3 6 2" xfId="1812"/>
    <cellStyle name="Note 3 3 2 3 7" xfId="1441"/>
    <cellStyle name="Note 3 3 2 3 7 2" xfId="1873"/>
    <cellStyle name="Note 3 3 2 3 8" xfId="1524"/>
    <cellStyle name="Note 3 3 2 4" xfId="1118"/>
    <cellStyle name="Note 3 3 2 4 2" xfId="1565"/>
    <cellStyle name="Note 3 3 2 5" xfId="1092"/>
    <cellStyle name="Note 3 3 2 5 2" xfId="1540"/>
    <cellStyle name="Note 3 3 2 6" xfId="1270"/>
    <cellStyle name="Note 3 3 2 6 2" xfId="1710"/>
    <cellStyle name="Note 3 3 2 7" xfId="1334"/>
    <cellStyle name="Note 3 3 2 7 2" xfId="1771"/>
    <cellStyle name="Note 3 3 2 8" xfId="1398"/>
    <cellStyle name="Note 3 3 2 8 2" xfId="1832"/>
    <cellStyle name="Note 3 3 2 9" xfId="1483"/>
    <cellStyle name="Note 3 3 3" xfId="1463"/>
    <cellStyle name="Note 4" xfId="667"/>
    <cellStyle name="Notes" xfId="476"/>
    <cellStyle name="Output 2" xfId="973"/>
    <cellStyle name="Output 2 2" xfId="974"/>
    <cellStyle name="Output 2 2 2" xfId="1033"/>
    <cellStyle name="Output 2 2 2 2" xfId="1055"/>
    <cellStyle name="Output 2 2 2 2 2" xfId="1141"/>
    <cellStyle name="Output 2 2 2 2 2 2" xfId="1587"/>
    <cellStyle name="Output 2 2 2 2 3" xfId="1184"/>
    <cellStyle name="Output 2 2 2 2 3 2" xfId="1628"/>
    <cellStyle name="Output 2 2 2 2 4" xfId="1229"/>
    <cellStyle name="Output 2 2 2 2 4 2" xfId="1671"/>
    <cellStyle name="Output 2 2 2 2 5" xfId="1293"/>
    <cellStyle name="Output 2 2 2 2 5 2" xfId="1732"/>
    <cellStyle name="Output 2 2 2 2 6" xfId="1357"/>
    <cellStyle name="Output 2 2 2 2 6 2" xfId="1793"/>
    <cellStyle name="Output 2 2 2 2 7" xfId="1421"/>
    <cellStyle name="Output 2 2 2 2 7 2" xfId="1854"/>
    <cellStyle name="Output 2 2 2 2 8" xfId="1505"/>
    <cellStyle name="Output 2 2 2 3" xfId="1076"/>
    <cellStyle name="Output 2 2 2 3 2" xfId="1162"/>
    <cellStyle name="Output 2 2 2 3 2 2" xfId="1607"/>
    <cellStyle name="Output 2 2 2 3 3" xfId="1205"/>
    <cellStyle name="Output 2 2 2 3 3 2" xfId="1648"/>
    <cellStyle name="Output 2 2 2 3 4" xfId="1250"/>
    <cellStyle name="Output 2 2 2 3 4 2" xfId="1691"/>
    <cellStyle name="Output 2 2 2 3 5" xfId="1314"/>
    <cellStyle name="Output 2 2 2 3 5 2" xfId="1752"/>
    <cellStyle name="Output 2 2 2 3 6" xfId="1378"/>
    <cellStyle name="Output 2 2 2 3 6 2" xfId="1813"/>
    <cellStyle name="Output 2 2 2 3 7" xfId="1442"/>
    <cellStyle name="Output 2 2 2 3 7 2" xfId="1874"/>
    <cellStyle name="Output 2 2 2 3 8" xfId="1525"/>
    <cellStyle name="Output 2 2 2 4" xfId="1119"/>
    <cellStyle name="Output 2 2 2 4 2" xfId="1566"/>
    <cellStyle name="Output 2 2 2 5" xfId="1093"/>
    <cellStyle name="Output 2 2 2 5 2" xfId="1541"/>
    <cellStyle name="Output 2 2 2 6" xfId="1271"/>
    <cellStyle name="Output 2 2 2 6 2" xfId="1711"/>
    <cellStyle name="Output 2 2 2 7" xfId="1335"/>
    <cellStyle name="Output 2 2 2 7 2" xfId="1772"/>
    <cellStyle name="Output 2 2 2 8" xfId="1399"/>
    <cellStyle name="Output 2 2 2 8 2" xfId="1833"/>
    <cellStyle name="Output 2 2 2 9" xfId="1484"/>
    <cellStyle name="Output 2 2 3" xfId="1464"/>
    <cellStyle name="Output 2 3" xfId="975"/>
    <cellStyle name="Output 2 3 2" xfId="1034"/>
    <cellStyle name="Output 2 3 2 2" xfId="1056"/>
    <cellStyle name="Output 2 3 2 2 2" xfId="1142"/>
    <cellStyle name="Output 2 3 2 2 2 2" xfId="1588"/>
    <cellStyle name="Output 2 3 2 2 3" xfId="1185"/>
    <cellStyle name="Output 2 3 2 2 3 2" xfId="1629"/>
    <cellStyle name="Output 2 3 2 2 4" xfId="1230"/>
    <cellStyle name="Output 2 3 2 2 4 2" xfId="1672"/>
    <cellStyle name="Output 2 3 2 2 5" xfId="1294"/>
    <cellStyle name="Output 2 3 2 2 5 2" xfId="1733"/>
    <cellStyle name="Output 2 3 2 2 6" xfId="1358"/>
    <cellStyle name="Output 2 3 2 2 6 2" xfId="1794"/>
    <cellStyle name="Output 2 3 2 2 7" xfId="1422"/>
    <cellStyle name="Output 2 3 2 2 7 2" xfId="1855"/>
    <cellStyle name="Output 2 3 2 2 8" xfId="1506"/>
    <cellStyle name="Output 2 3 2 3" xfId="1077"/>
    <cellStyle name="Output 2 3 2 3 2" xfId="1163"/>
    <cellStyle name="Output 2 3 2 3 2 2" xfId="1608"/>
    <cellStyle name="Output 2 3 2 3 3" xfId="1206"/>
    <cellStyle name="Output 2 3 2 3 3 2" xfId="1649"/>
    <cellStyle name="Output 2 3 2 3 4" xfId="1251"/>
    <cellStyle name="Output 2 3 2 3 4 2" xfId="1692"/>
    <cellStyle name="Output 2 3 2 3 5" xfId="1315"/>
    <cellStyle name="Output 2 3 2 3 5 2" xfId="1753"/>
    <cellStyle name="Output 2 3 2 3 6" xfId="1379"/>
    <cellStyle name="Output 2 3 2 3 6 2" xfId="1814"/>
    <cellStyle name="Output 2 3 2 3 7" xfId="1443"/>
    <cellStyle name="Output 2 3 2 3 7 2" xfId="1875"/>
    <cellStyle name="Output 2 3 2 3 8" xfId="1526"/>
    <cellStyle name="Output 2 3 2 4" xfId="1120"/>
    <cellStyle name="Output 2 3 2 4 2" xfId="1567"/>
    <cellStyle name="Output 2 3 2 5" xfId="1094"/>
    <cellStyle name="Output 2 3 2 5 2" xfId="1542"/>
    <cellStyle name="Output 2 3 2 6" xfId="1272"/>
    <cellStyle name="Output 2 3 2 6 2" xfId="1712"/>
    <cellStyle name="Output 2 3 2 7" xfId="1336"/>
    <cellStyle name="Output 2 3 2 7 2" xfId="1773"/>
    <cellStyle name="Output 2 3 2 8" xfId="1400"/>
    <cellStyle name="Output 2 3 2 8 2" xfId="1834"/>
    <cellStyle name="Output 2 3 2 9" xfId="1485"/>
    <cellStyle name="Output 2 3 3" xfId="1465"/>
    <cellStyle name="Output 3 2" xfId="976"/>
    <cellStyle name="Output 3 2 2" xfId="1035"/>
    <cellStyle name="Output 3 2 2 2" xfId="1057"/>
    <cellStyle name="Output 3 2 2 2 2" xfId="1143"/>
    <cellStyle name="Output 3 2 2 2 2 2" xfId="1589"/>
    <cellStyle name="Output 3 2 2 2 3" xfId="1186"/>
    <cellStyle name="Output 3 2 2 2 3 2" xfId="1630"/>
    <cellStyle name="Output 3 2 2 2 4" xfId="1231"/>
    <cellStyle name="Output 3 2 2 2 4 2" xfId="1673"/>
    <cellStyle name="Output 3 2 2 2 5" xfId="1295"/>
    <cellStyle name="Output 3 2 2 2 5 2" xfId="1734"/>
    <cellStyle name="Output 3 2 2 2 6" xfId="1359"/>
    <cellStyle name="Output 3 2 2 2 6 2" xfId="1795"/>
    <cellStyle name="Output 3 2 2 2 7" xfId="1423"/>
    <cellStyle name="Output 3 2 2 2 7 2" xfId="1856"/>
    <cellStyle name="Output 3 2 2 2 8" xfId="1507"/>
    <cellStyle name="Output 3 2 2 3" xfId="1078"/>
    <cellStyle name="Output 3 2 2 3 2" xfId="1164"/>
    <cellStyle name="Output 3 2 2 3 2 2" xfId="1609"/>
    <cellStyle name="Output 3 2 2 3 3" xfId="1207"/>
    <cellStyle name="Output 3 2 2 3 3 2" xfId="1650"/>
    <cellStyle name="Output 3 2 2 3 4" xfId="1252"/>
    <cellStyle name="Output 3 2 2 3 4 2" xfId="1693"/>
    <cellStyle name="Output 3 2 2 3 5" xfId="1316"/>
    <cellStyle name="Output 3 2 2 3 5 2" xfId="1754"/>
    <cellStyle name="Output 3 2 2 3 6" xfId="1380"/>
    <cellStyle name="Output 3 2 2 3 6 2" xfId="1815"/>
    <cellStyle name="Output 3 2 2 3 7" xfId="1444"/>
    <cellStyle name="Output 3 2 2 3 7 2" xfId="1876"/>
    <cellStyle name="Output 3 2 2 3 8" xfId="1527"/>
    <cellStyle name="Output 3 2 2 4" xfId="1121"/>
    <cellStyle name="Output 3 2 2 4 2" xfId="1568"/>
    <cellStyle name="Output 3 2 2 5" xfId="1102"/>
    <cellStyle name="Output 3 2 2 5 2" xfId="1550"/>
    <cellStyle name="Output 3 2 2 6" xfId="1273"/>
    <cellStyle name="Output 3 2 2 6 2" xfId="1713"/>
    <cellStyle name="Output 3 2 2 7" xfId="1337"/>
    <cellStyle name="Output 3 2 2 7 2" xfId="1774"/>
    <cellStyle name="Output 3 2 2 8" xfId="1401"/>
    <cellStyle name="Output 3 2 2 8 2" xfId="1835"/>
    <cellStyle name="Output 3 2 2 9" xfId="1486"/>
    <cellStyle name="Output 3 2 3" xfId="1466"/>
    <cellStyle name="Output 3 3" xfId="977"/>
    <cellStyle name="Output 3 3 2" xfId="1036"/>
    <cellStyle name="Output 3 3 2 2" xfId="1058"/>
    <cellStyle name="Output 3 3 2 2 2" xfId="1144"/>
    <cellStyle name="Output 3 3 2 2 2 2" xfId="1590"/>
    <cellStyle name="Output 3 3 2 2 3" xfId="1187"/>
    <cellStyle name="Output 3 3 2 2 3 2" xfId="1631"/>
    <cellStyle name="Output 3 3 2 2 4" xfId="1232"/>
    <cellStyle name="Output 3 3 2 2 4 2" xfId="1674"/>
    <cellStyle name="Output 3 3 2 2 5" xfId="1296"/>
    <cellStyle name="Output 3 3 2 2 5 2" xfId="1735"/>
    <cellStyle name="Output 3 3 2 2 6" xfId="1360"/>
    <cellStyle name="Output 3 3 2 2 6 2" xfId="1796"/>
    <cellStyle name="Output 3 3 2 2 7" xfId="1424"/>
    <cellStyle name="Output 3 3 2 2 7 2" xfId="1857"/>
    <cellStyle name="Output 3 3 2 2 8" xfId="1508"/>
    <cellStyle name="Output 3 3 2 3" xfId="1079"/>
    <cellStyle name="Output 3 3 2 3 2" xfId="1165"/>
    <cellStyle name="Output 3 3 2 3 2 2" xfId="1610"/>
    <cellStyle name="Output 3 3 2 3 3" xfId="1208"/>
    <cellStyle name="Output 3 3 2 3 3 2" xfId="1651"/>
    <cellStyle name="Output 3 3 2 3 4" xfId="1253"/>
    <cellStyle name="Output 3 3 2 3 4 2" xfId="1694"/>
    <cellStyle name="Output 3 3 2 3 5" xfId="1317"/>
    <cellStyle name="Output 3 3 2 3 5 2" xfId="1755"/>
    <cellStyle name="Output 3 3 2 3 6" xfId="1381"/>
    <cellStyle name="Output 3 3 2 3 6 2" xfId="1816"/>
    <cellStyle name="Output 3 3 2 3 7" xfId="1445"/>
    <cellStyle name="Output 3 3 2 3 7 2" xfId="1877"/>
    <cellStyle name="Output 3 3 2 3 8" xfId="1528"/>
    <cellStyle name="Output 3 3 2 4" xfId="1122"/>
    <cellStyle name="Output 3 3 2 4 2" xfId="1569"/>
    <cellStyle name="Output 3 3 2 5" xfId="1103"/>
    <cellStyle name="Output 3 3 2 5 2" xfId="1551"/>
    <cellStyle name="Output 3 3 2 6" xfId="1274"/>
    <cellStyle name="Output 3 3 2 6 2" xfId="1714"/>
    <cellStyle name="Output 3 3 2 7" xfId="1338"/>
    <cellStyle name="Output 3 3 2 7 2" xfId="1775"/>
    <cellStyle name="Output 3 3 2 8" xfId="1402"/>
    <cellStyle name="Output 3 3 2 8 2" xfId="1836"/>
    <cellStyle name="Output 3 3 2 9" xfId="1487"/>
    <cellStyle name="Output 3 3 3" xfId="1467"/>
    <cellStyle name="Output Amounts" xfId="477"/>
    <cellStyle name="Output Column Headings" xfId="478"/>
    <cellStyle name="Output Line Items" xfId="479"/>
    <cellStyle name="Output Report Heading" xfId="480"/>
    <cellStyle name="Output Report Title" xfId="481"/>
    <cellStyle name="Percent" xfId="3" builtinId="5"/>
    <cellStyle name="Percent [2]" xfId="668"/>
    <cellStyle name="Percent [2] 2" xfId="978"/>
    <cellStyle name="Percent [2] 3" xfId="979"/>
    <cellStyle name="Percent [2] 4" xfId="980"/>
    <cellStyle name="Percent 10" xfId="482"/>
    <cellStyle name="Percent 11" xfId="483"/>
    <cellStyle name="Percent 12" xfId="484"/>
    <cellStyle name="Percent 13" xfId="485"/>
    <cellStyle name="Percent 14" xfId="981"/>
    <cellStyle name="Percent 15" xfId="58"/>
    <cellStyle name="Percent 16" xfId="1887"/>
    <cellStyle name="Percent 2" xfId="5"/>
    <cellStyle name="Percent 2 2" xfId="487"/>
    <cellStyle name="Percent 2 2 2" xfId="488"/>
    <cellStyle name="Percent 2 2 3" xfId="489"/>
    <cellStyle name="Percent 2 3" xfId="486"/>
    <cellStyle name="Percent 2 4" xfId="61"/>
    <cellStyle name="Percent 3" xfId="9"/>
    <cellStyle name="Percent 3 2" xfId="45"/>
    <cellStyle name="Percent 3 2 2" xfId="982"/>
    <cellStyle name="Percent 3 3" xfId="37"/>
    <cellStyle name="Percent 3 4" xfId="63"/>
    <cellStyle name="Percent 4" xfId="31"/>
    <cellStyle name="Percent 4 2" xfId="47"/>
    <cellStyle name="Percent 4 2 2" xfId="983"/>
    <cellStyle name="Percent 4 3" xfId="39"/>
    <cellStyle name="Percent 4 4" xfId="490"/>
    <cellStyle name="Percent 5" xfId="33"/>
    <cellStyle name="Percent 5 2" xfId="49"/>
    <cellStyle name="Percent 5 2 2" xfId="984"/>
    <cellStyle name="Percent 5 3" xfId="41"/>
    <cellStyle name="Percent 5 4" xfId="491"/>
    <cellStyle name="Percent 6" xfId="35"/>
    <cellStyle name="Percent 6 2" xfId="51"/>
    <cellStyle name="Percent 6 3" xfId="43"/>
    <cellStyle name="Percent 6 4" xfId="492"/>
    <cellStyle name="Percent 7" xfId="493"/>
    <cellStyle name="Percent 8" xfId="494"/>
    <cellStyle name="Percent 9" xfId="495"/>
    <cellStyle name="Percent(1)" xfId="496"/>
    <cellStyle name="Percent(1) 2" xfId="497"/>
    <cellStyle name="Percent(1) 3" xfId="498"/>
    <cellStyle name="Percent(2)" xfId="499"/>
    <cellStyle name="Percent(2) 2" xfId="500"/>
    <cellStyle name="Percent(2) 3" xfId="501"/>
    <cellStyle name="Print" xfId="502"/>
    <cellStyle name="PRM" xfId="503"/>
    <cellStyle name="PRM 10" xfId="504"/>
    <cellStyle name="PRM 11" xfId="505"/>
    <cellStyle name="PRM 12" xfId="506"/>
    <cellStyle name="PRM 13" xfId="507"/>
    <cellStyle name="PRM 14" xfId="508"/>
    <cellStyle name="PRM 15" xfId="509"/>
    <cellStyle name="PRM 16" xfId="510"/>
    <cellStyle name="PRM 17" xfId="511"/>
    <cellStyle name="PRM 18" xfId="512"/>
    <cellStyle name="PRM 19" xfId="513"/>
    <cellStyle name="PRM 2" xfId="514"/>
    <cellStyle name="PRM 20" xfId="515"/>
    <cellStyle name="PRM 21" xfId="516"/>
    <cellStyle name="PRM 22" xfId="517"/>
    <cellStyle name="PRM 23" xfId="518"/>
    <cellStyle name="PRM 24" xfId="519"/>
    <cellStyle name="PRM 25" xfId="520"/>
    <cellStyle name="PRM 26" xfId="521"/>
    <cellStyle name="PRM 27" xfId="522"/>
    <cellStyle name="PRM 28" xfId="523"/>
    <cellStyle name="PRM 29" xfId="524"/>
    <cellStyle name="PRM 3" xfId="525"/>
    <cellStyle name="PRM 30" xfId="526"/>
    <cellStyle name="PRM 31" xfId="527"/>
    <cellStyle name="PRM 32" xfId="528"/>
    <cellStyle name="PRM 33" xfId="529"/>
    <cellStyle name="PRM 34" xfId="530"/>
    <cellStyle name="PRM 35" xfId="531"/>
    <cellStyle name="PRM 36" xfId="532"/>
    <cellStyle name="PRM 37" xfId="533"/>
    <cellStyle name="PRM 38" xfId="534"/>
    <cellStyle name="PRM 39" xfId="535"/>
    <cellStyle name="PRM 4" xfId="536"/>
    <cellStyle name="PRM 40" xfId="537"/>
    <cellStyle name="PRM 41" xfId="538"/>
    <cellStyle name="PRM 42" xfId="539"/>
    <cellStyle name="PRM 43" xfId="540"/>
    <cellStyle name="PRM 44" xfId="541"/>
    <cellStyle name="PRM 45" xfId="542"/>
    <cellStyle name="PRM 46" xfId="543"/>
    <cellStyle name="PRM 47" xfId="544"/>
    <cellStyle name="PRM 48" xfId="545"/>
    <cellStyle name="PRM 49" xfId="669"/>
    <cellStyle name="PRM 5" xfId="546"/>
    <cellStyle name="PRM 50" xfId="670"/>
    <cellStyle name="PRM 6" xfId="547"/>
    <cellStyle name="PRM 7" xfId="548"/>
    <cellStyle name="PRM 8" xfId="549"/>
    <cellStyle name="PRM 9" xfId="550"/>
    <cellStyle name="PRM_ACCT" xfId="551"/>
    <cellStyle name="PSChar" xfId="552"/>
    <cellStyle name="PSChar 2" xfId="553"/>
    <cellStyle name="PSChar 2 2" xfId="554"/>
    <cellStyle name="PSChar 2 3" xfId="555"/>
    <cellStyle name="PSChar 3" xfId="556"/>
    <cellStyle name="PSChar 3 2" xfId="557"/>
    <cellStyle name="PSChar 3 3" xfId="558"/>
    <cellStyle name="PSChar 4" xfId="559"/>
    <cellStyle name="PSChar 4 2" xfId="560"/>
    <cellStyle name="PSChar 4 3" xfId="561"/>
    <cellStyle name="PSChar 5" xfId="562"/>
    <cellStyle name="PSDate" xfId="563"/>
    <cellStyle name="PSDec" xfId="564"/>
    <cellStyle name="PSHeading" xfId="565"/>
    <cellStyle name="PSHeading 2" xfId="566"/>
    <cellStyle name="PSHeading 2 2" xfId="1451"/>
    <cellStyle name="PSHeading 3" xfId="1450"/>
    <cellStyle name="PSHeading_CPT" xfId="567"/>
    <cellStyle name="PSInt" xfId="568"/>
    <cellStyle name="PSSpacer" xfId="569"/>
    <cellStyle name="Save" xfId="570"/>
    <cellStyle name="Style 21" xfId="985"/>
    <cellStyle name="Style 22" xfId="986"/>
    <cellStyle name="Style 23" xfId="987"/>
    <cellStyle name="Style 24" xfId="988"/>
    <cellStyle name="Style 25" xfId="989"/>
    <cellStyle name="Style 26" xfId="990"/>
    <cellStyle name="Style 27" xfId="991"/>
    <cellStyle name="Style 28" xfId="992"/>
    <cellStyle name="Style 29" xfId="993"/>
    <cellStyle name="Style 30" xfId="994"/>
    <cellStyle name="Style 31" xfId="995"/>
    <cellStyle name="Style 32" xfId="996"/>
    <cellStyle name="Text_Bold" xfId="571"/>
    <cellStyle name="Title 2" xfId="997"/>
    <cellStyle name="Title 2 2" xfId="998"/>
    <cellStyle name="Title 2 3" xfId="999"/>
    <cellStyle name="Title 3 2" xfId="1000"/>
    <cellStyle name="Title 3 3" xfId="1001"/>
    <cellStyle name="Title12" xfId="572"/>
    <cellStyle name="Title12 10" xfId="573"/>
    <cellStyle name="Title12 11" xfId="574"/>
    <cellStyle name="Title12 12" xfId="575"/>
    <cellStyle name="Title12 13" xfId="576"/>
    <cellStyle name="Title12 14" xfId="577"/>
    <cellStyle name="Title12 15" xfId="578"/>
    <cellStyle name="Title12 16" xfId="579"/>
    <cellStyle name="Title12 17" xfId="580"/>
    <cellStyle name="Title12 18" xfId="581"/>
    <cellStyle name="Title12 19" xfId="582"/>
    <cellStyle name="Title12 2" xfId="583"/>
    <cellStyle name="Title12 20" xfId="584"/>
    <cellStyle name="Title12 21" xfId="585"/>
    <cellStyle name="Title12 22" xfId="586"/>
    <cellStyle name="Title12 23" xfId="587"/>
    <cellStyle name="Title12 24" xfId="588"/>
    <cellStyle name="Title12 25" xfId="589"/>
    <cellStyle name="Title12 26" xfId="590"/>
    <cellStyle name="Title12 27" xfId="591"/>
    <cellStyle name="Title12 28" xfId="592"/>
    <cellStyle name="Title12 29" xfId="593"/>
    <cellStyle name="Title12 3" xfId="594"/>
    <cellStyle name="Title12 30" xfId="595"/>
    <cellStyle name="Title12 31" xfId="596"/>
    <cellStyle name="Title12 32" xfId="597"/>
    <cellStyle name="Title12 33" xfId="598"/>
    <cellStyle name="Title12 34" xfId="599"/>
    <cellStyle name="Title12 35" xfId="600"/>
    <cellStyle name="Title12 36" xfId="601"/>
    <cellStyle name="Title12 37" xfId="602"/>
    <cellStyle name="Title12 38" xfId="603"/>
    <cellStyle name="Title12 39" xfId="604"/>
    <cellStyle name="Title12 4" xfId="605"/>
    <cellStyle name="Title12 40" xfId="606"/>
    <cellStyle name="Title12 41" xfId="607"/>
    <cellStyle name="Title12 42" xfId="608"/>
    <cellStyle name="Title12 43" xfId="609"/>
    <cellStyle name="Title12 44" xfId="610"/>
    <cellStyle name="Title12 45" xfId="611"/>
    <cellStyle name="Title12 46" xfId="612"/>
    <cellStyle name="Title12 47" xfId="613"/>
    <cellStyle name="Title12 48" xfId="614"/>
    <cellStyle name="Title12 49" xfId="671"/>
    <cellStyle name="Title12 5" xfId="615"/>
    <cellStyle name="Title12 50" xfId="672"/>
    <cellStyle name="Title12 6" xfId="616"/>
    <cellStyle name="Title12 7" xfId="617"/>
    <cellStyle name="Title12 8" xfId="618"/>
    <cellStyle name="Title12 9" xfId="619"/>
    <cellStyle name="Title12_ACCT" xfId="620"/>
    <cellStyle name="Title3" xfId="621"/>
    <cellStyle name="Total 2" xfId="673"/>
    <cellStyle name="Total 2 2" xfId="1002"/>
    <cellStyle name="Total 2 2 2" xfId="1037"/>
    <cellStyle name="Total 2 2 2 2" xfId="1059"/>
    <cellStyle name="Total 2 2 2 2 2" xfId="1145"/>
    <cellStyle name="Total 2 2 2 2 2 2" xfId="1591"/>
    <cellStyle name="Total 2 2 2 2 3" xfId="1188"/>
    <cellStyle name="Total 2 2 2 2 3 2" xfId="1632"/>
    <cellStyle name="Total 2 2 2 2 4" xfId="1233"/>
    <cellStyle name="Total 2 2 2 2 4 2" xfId="1675"/>
    <cellStyle name="Total 2 2 2 2 5" xfId="1297"/>
    <cellStyle name="Total 2 2 2 2 5 2" xfId="1736"/>
    <cellStyle name="Total 2 2 2 2 6" xfId="1361"/>
    <cellStyle name="Total 2 2 2 2 6 2" xfId="1797"/>
    <cellStyle name="Total 2 2 2 2 7" xfId="1425"/>
    <cellStyle name="Total 2 2 2 2 7 2" xfId="1858"/>
    <cellStyle name="Total 2 2 2 2 8" xfId="1509"/>
    <cellStyle name="Total 2 2 2 3" xfId="1080"/>
    <cellStyle name="Total 2 2 2 3 2" xfId="1166"/>
    <cellStyle name="Total 2 2 2 3 2 2" xfId="1611"/>
    <cellStyle name="Total 2 2 2 3 3" xfId="1209"/>
    <cellStyle name="Total 2 2 2 3 3 2" xfId="1652"/>
    <cellStyle name="Total 2 2 2 3 4" xfId="1254"/>
    <cellStyle name="Total 2 2 2 3 4 2" xfId="1695"/>
    <cellStyle name="Total 2 2 2 3 5" xfId="1318"/>
    <cellStyle name="Total 2 2 2 3 5 2" xfId="1756"/>
    <cellStyle name="Total 2 2 2 3 6" xfId="1382"/>
    <cellStyle name="Total 2 2 2 3 6 2" xfId="1817"/>
    <cellStyle name="Total 2 2 2 3 7" xfId="1446"/>
    <cellStyle name="Total 2 2 2 3 7 2" xfId="1878"/>
    <cellStyle name="Total 2 2 2 3 8" xfId="1529"/>
    <cellStyle name="Total 2 2 2 4" xfId="1123"/>
    <cellStyle name="Total 2 2 2 4 2" xfId="1570"/>
    <cellStyle name="Total 2 2 2 5" xfId="1104"/>
    <cellStyle name="Total 2 2 2 5 2" xfId="1552"/>
    <cellStyle name="Total 2 2 2 6" xfId="1275"/>
    <cellStyle name="Total 2 2 2 6 2" xfId="1715"/>
    <cellStyle name="Total 2 2 2 7" xfId="1339"/>
    <cellStyle name="Total 2 2 2 7 2" xfId="1776"/>
    <cellStyle name="Total 2 2 2 8" xfId="1403"/>
    <cellStyle name="Total 2 2 2 8 2" xfId="1837"/>
    <cellStyle name="Total 2 2 2 9" xfId="1488"/>
    <cellStyle name="Total 2 2 3" xfId="1468"/>
    <cellStyle name="Total 2 3" xfId="1003"/>
    <cellStyle name="Total 2 3 2" xfId="1038"/>
    <cellStyle name="Total 2 3 2 2" xfId="1060"/>
    <cellStyle name="Total 2 3 2 2 2" xfId="1146"/>
    <cellStyle name="Total 2 3 2 2 2 2" xfId="1592"/>
    <cellStyle name="Total 2 3 2 2 3" xfId="1189"/>
    <cellStyle name="Total 2 3 2 2 3 2" xfId="1633"/>
    <cellStyle name="Total 2 3 2 2 4" xfId="1234"/>
    <cellStyle name="Total 2 3 2 2 4 2" xfId="1676"/>
    <cellStyle name="Total 2 3 2 2 5" xfId="1298"/>
    <cellStyle name="Total 2 3 2 2 5 2" xfId="1737"/>
    <cellStyle name="Total 2 3 2 2 6" xfId="1362"/>
    <cellStyle name="Total 2 3 2 2 6 2" xfId="1798"/>
    <cellStyle name="Total 2 3 2 2 7" xfId="1426"/>
    <cellStyle name="Total 2 3 2 2 7 2" xfId="1859"/>
    <cellStyle name="Total 2 3 2 2 8" xfId="1510"/>
    <cellStyle name="Total 2 3 2 3" xfId="1081"/>
    <cellStyle name="Total 2 3 2 3 2" xfId="1167"/>
    <cellStyle name="Total 2 3 2 3 2 2" xfId="1612"/>
    <cellStyle name="Total 2 3 2 3 3" xfId="1210"/>
    <cellStyle name="Total 2 3 2 3 3 2" xfId="1653"/>
    <cellStyle name="Total 2 3 2 3 4" xfId="1255"/>
    <cellStyle name="Total 2 3 2 3 4 2" xfId="1696"/>
    <cellStyle name="Total 2 3 2 3 5" xfId="1319"/>
    <cellStyle name="Total 2 3 2 3 5 2" xfId="1757"/>
    <cellStyle name="Total 2 3 2 3 6" xfId="1383"/>
    <cellStyle name="Total 2 3 2 3 6 2" xfId="1818"/>
    <cellStyle name="Total 2 3 2 3 7" xfId="1447"/>
    <cellStyle name="Total 2 3 2 3 7 2" xfId="1879"/>
    <cellStyle name="Total 2 3 2 3 8" xfId="1530"/>
    <cellStyle name="Total 2 3 2 4" xfId="1124"/>
    <cellStyle name="Total 2 3 2 4 2" xfId="1571"/>
    <cellStyle name="Total 2 3 2 5" xfId="1095"/>
    <cellStyle name="Total 2 3 2 5 2" xfId="1543"/>
    <cellStyle name="Total 2 3 2 6" xfId="1276"/>
    <cellStyle name="Total 2 3 2 6 2" xfId="1716"/>
    <cellStyle name="Total 2 3 2 7" xfId="1340"/>
    <cellStyle name="Total 2 3 2 7 2" xfId="1777"/>
    <cellStyle name="Total 2 3 2 8" xfId="1404"/>
    <cellStyle name="Total 2 3 2 8 2" xfId="1838"/>
    <cellStyle name="Total 2 3 2 9" xfId="1489"/>
    <cellStyle name="Total 2 3 3" xfId="1469"/>
    <cellStyle name="Total 3" xfId="674"/>
    <cellStyle name="Total 3 2" xfId="1004"/>
    <cellStyle name="Total 3 2 2" xfId="1039"/>
    <cellStyle name="Total 3 2 2 2" xfId="1061"/>
    <cellStyle name="Total 3 2 2 2 2" xfId="1147"/>
    <cellStyle name="Total 3 2 2 2 2 2" xfId="1593"/>
    <cellStyle name="Total 3 2 2 2 3" xfId="1190"/>
    <cellStyle name="Total 3 2 2 2 3 2" xfId="1634"/>
    <cellStyle name="Total 3 2 2 2 4" xfId="1235"/>
    <cellStyle name="Total 3 2 2 2 4 2" xfId="1677"/>
    <cellStyle name="Total 3 2 2 2 5" xfId="1299"/>
    <cellStyle name="Total 3 2 2 2 5 2" xfId="1738"/>
    <cellStyle name="Total 3 2 2 2 6" xfId="1363"/>
    <cellStyle name="Total 3 2 2 2 6 2" xfId="1799"/>
    <cellStyle name="Total 3 2 2 2 7" xfId="1427"/>
    <cellStyle name="Total 3 2 2 2 7 2" xfId="1860"/>
    <cellStyle name="Total 3 2 2 2 8" xfId="1511"/>
    <cellStyle name="Total 3 2 2 3" xfId="1082"/>
    <cellStyle name="Total 3 2 2 3 2" xfId="1168"/>
    <cellStyle name="Total 3 2 2 3 2 2" xfId="1613"/>
    <cellStyle name="Total 3 2 2 3 3" xfId="1211"/>
    <cellStyle name="Total 3 2 2 3 3 2" xfId="1654"/>
    <cellStyle name="Total 3 2 2 3 4" xfId="1256"/>
    <cellStyle name="Total 3 2 2 3 4 2" xfId="1697"/>
    <cellStyle name="Total 3 2 2 3 5" xfId="1320"/>
    <cellStyle name="Total 3 2 2 3 5 2" xfId="1758"/>
    <cellStyle name="Total 3 2 2 3 6" xfId="1384"/>
    <cellStyle name="Total 3 2 2 3 6 2" xfId="1819"/>
    <cellStyle name="Total 3 2 2 3 7" xfId="1448"/>
    <cellStyle name="Total 3 2 2 3 7 2" xfId="1880"/>
    <cellStyle name="Total 3 2 2 3 8" xfId="1531"/>
    <cellStyle name="Total 3 2 2 4" xfId="1125"/>
    <cellStyle name="Total 3 2 2 4 2" xfId="1572"/>
    <cellStyle name="Total 3 2 2 5" xfId="1213"/>
    <cellStyle name="Total 3 2 2 5 2" xfId="1656"/>
    <cellStyle name="Total 3 2 2 6" xfId="1277"/>
    <cellStyle name="Total 3 2 2 6 2" xfId="1717"/>
    <cellStyle name="Total 3 2 2 7" xfId="1341"/>
    <cellStyle name="Total 3 2 2 7 2" xfId="1778"/>
    <cellStyle name="Total 3 2 2 8" xfId="1405"/>
    <cellStyle name="Total 3 2 2 8 2" xfId="1839"/>
    <cellStyle name="Total 3 2 2 9" xfId="1490"/>
    <cellStyle name="Total 3 2 3" xfId="1470"/>
    <cellStyle name="Total 3 3" xfId="1005"/>
    <cellStyle name="Total 3 3 2" xfId="1040"/>
    <cellStyle name="Total 3 3 2 2" xfId="1062"/>
    <cellStyle name="Total 3 3 2 2 2" xfId="1148"/>
    <cellStyle name="Total 3 3 2 2 2 2" xfId="1594"/>
    <cellStyle name="Total 3 3 2 2 3" xfId="1191"/>
    <cellStyle name="Total 3 3 2 2 3 2" xfId="1635"/>
    <cellStyle name="Total 3 3 2 2 4" xfId="1236"/>
    <cellStyle name="Total 3 3 2 2 4 2" xfId="1678"/>
    <cellStyle name="Total 3 3 2 2 5" xfId="1300"/>
    <cellStyle name="Total 3 3 2 2 5 2" xfId="1739"/>
    <cellStyle name="Total 3 3 2 2 6" xfId="1364"/>
    <cellStyle name="Total 3 3 2 2 6 2" xfId="1800"/>
    <cellStyle name="Total 3 3 2 2 7" xfId="1428"/>
    <cellStyle name="Total 3 3 2 2 7 2" xfId="1861"/>
    <cellStyle name="Total 3 3 2 2 8" xfId="1512"/>
    <cellStyle name="Total 3 3 2 3" xfId="1083"/>
    <cellStyle name="Total 3 3 2 3 2" xfId="1169"/>
    <cellStyle name="Total 3 3 2 3 2 2" xfId="1614"/>
    <cellStyle name="Total 3 3 2 3 3" xfId="1212"/>
    <cellStyle name="Total 3 3 2 3 3 2" xfId="1655"/>
    <cellStyle name="Total 3 3 2 3 4" xfId="1257"/>
    <cellStyle name="Total 3 3 2 3 4 2" xfId="1698"/>
    <cellStyle name="Total 3 3 2 3 5" xfId="1321"/>
    <cellStyle name="Total 3 3 2 3 5 2" xfId="1759"/>
    <cellStyle name="Total 3 3 2 3 6" xfId="1385"/>
    <cellStyle name="Total 3 3 2 3 6 2" xfId="1820"/>
    <cellStyle name="Total 3 3 2 3 7" xfId="1449"/>
    <cellStyle name="Total 3 3 2 3 7 2" xfId="1881"/>
    <cellStyle name="Total 3 3 2 3 8" xfId="1532"/>
    <cellStyle name="Total 3 3 2 4" xfId="1126"/>
    <cellStyle name="Total 3 3 2 4 2" xfId="1573"/>
    <cellStyle name="Total 3 3 2 5" xfId="1214"/>
    <cellStyle name="Total 3 3 2 5 2" xfId="1657"/>
    <cellStyle name="Total 3 3 2 6" xfId="1278"/>
    <cellStyle name="Total 3 3 2 6 2" xfId="1718"/>
    <cellStyle name="Total 3 3 2 7" xfId="1342"/>
    <cellStyle name="Total 3 3 2 7 2" xfId="1779"/>
    <cellStyle name="Total 3 3 2 8" xfId="1406"/>
    <cellStyle name="Total 3 3 2 8 2" xfId="1840"/>
    <cellStyle name="Total 3 3 2 9" xfId="1491"/>
    <cellStyle name="Total 3 3 3" xfId="1471"/>
    <cellStyle name="Total 4" xfId="675"/>
    <cellStyle name="Total 5" xfId="1006"/>
    <cellStyle name="Tusental (0)_laroux" xfId="676"/>
    <cellStyle name="Tusental_laroux" xfId="677"/>
    <cellStyle name="Valuta (0)_laroux" xfId="678"/>
    <cellStyle name="Valuta_laroux" xfId="679"/>
    <cellStyle name="Warning Text 2 2" xfId="1007"/>
    <cellStyle name="Warning Text 2 3" xfId="1008"/>
    <cellStyle name="Warning Text 3 2" xfId="1009"/>
    <cellStyle name="Warning Text 3 3" xfId="10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Committees\Committee%20Website\Proforma_Residents_FY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Funds%20Flow/Committees/Finance%20Subcommittee/FY23BenchmarkPreRea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unds%20Flow\FY%2018%20model\Physician\MGMA%203%20Year%20AVG%20wRVU%20and%20Low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FY21 Rates"/>
      <sheetName val="Calculations"/>
      <sheetName val="Proforma Draft 1"/>
      <sheetName val="Reimb Detail"/>
      <sheetName val="Hours"/>
      <sheetName val="Open Spons"/>
      <sheetName val="Lists"/>
      <sheetName val="FY19 Specialty"/>
      <sheetName val="FY20 Specialty"/>
      <sheetName val="FY20 wRVU Changes"/>
      <sheetName val="Specialty Lookup"/>
      <sheetName val="Count of Providers as of 1.18"/>
      <sheetName val="Peds Boost"/>
      <sheetName val="Count of Providers as of Jan 18"/>
      <sheetName val="Low N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&lt;Select&gt;</v>
          </cell>
        </row>
        <row r="3">
          <cell r="A3" t="str">
            <v>Dean's Funds</v>
          </cell>
        </row>
        <row r="4">
          <cell r="A4" t="str">
            <v>Enterprise Funds</v>
          </cell>
        </row>
        <row r="5">
          <cell r="A5" t="str">
            <v>Department Role</v>
          </cell>
        </row>
        <row r="6">
          <cell r="A6" t="str">
            <v>Education Role</v>
          </cell>
        </row>
        <row r="7">
          <cell r="A7" t="str">
            <v>Hospital Contracts</v>
          </cell>
        </row>
        <row r="8">
          <cell r="A8" t="str">
            <v>Contracts &amp; Grants</v>
          </cell>
        </row>
        <row r="9">
          <cell r="A9" t="str">
            <v>Outside Contracts</v>
          </cell>
        </row>
        <row r="10">
          <cell r="A10" t="str">
            <v>External Dept</v>
          </cell>
        </row>
        <row r="11">
          <cell r="A11" t="str">
            <v>UCRF</v>
          </cell>
        </row>
        <row r="12">
          <cell r="A12" t="str">
            <v>Other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4"/>
      <sheetName val="Sheet1"/>
      <sheetName val="MGMA"/>
      <sheetName val="AMGA"/>
      <sheetName val="AAMC_FPSC"/>
      <sheetName val="ASA Units"/>
      <sheetName val="AMGA wRVUs"/>
      <sheetName val="AMGA Comp"/>
      <sheetName val="Copy AAMC"/>
      <sheetName val="Original AAMC"/>
      <sheetName val="MGMA Provider Count"/>
      <sheetName val="FPSC"/>
      <sheetName val="AMGA Provider Count"/>
      <sheetName val="MGMA wRVUs 2021"/>
      <sheetName val="MGMA Comp 2021"/>
      <sheetName val="Sheet2"/>
    </sheetNames>
    <sheetDataSet>
      <sheetData sheetId="0"/>
      <sheetData sheetId="1"/>
      <sheetData sheetId="2"/>
      <sheetData sheetId="3">
        <row r="2">
          <cell r="AS2" t="str">
            <v>LOW N</v>
          </cell>
        </row>
        <row r="3">
          <cell r="B3" t="str">
            <v>COMPENSATION</v>
          </cell>
          <cell r="N3" t="str">
            <v>WRVU</v>
          </cell>
          <cell r="Z3" t="str">
            <v>PROVIDER COUNT</v>
          </cell>
        </row>
        <row r="4">
          <cell r="A4" t="str">
            <v>MGMA Specialty</v>
          </cell>
          <cell r="B4" t="str">
            <v>2015 MGMA Comp Median</v>
          </cell>
          <cell r="C4" t="str">
            <v>2016 MGMA Comp Median</v>
          </cell>
          <cell r="D4" t="str">
            <v>2017 MGMA Comp Median</v>
          </cell>
          <cell r="E4" t="str">
            <v>2018 MGMA Comp Median</v>
          </cell>
          <cell r="F4" t="str">
            <v>2019 MGMA Comp Median</v>
          </cell>
          <cell r="G4" t="str">
            <v>2020 MGMA Comp Median</v>
          </cell>
          <cell r="H4" t="str">
            <v>2021 MGMA Comp Median</v>
          </cell>
          <cell r="I4" t="str">
            <v>FY19 MGMA Comp Average</v>
          </cell>
          <cell r="J4" t="str">
            <v>FY20 MGMA Comp Average</v>
          </cell>
          <cell r="K4" t="str">
            <v>FY21 MGMA Comp Average</v>
          </cell>
          <cell r="L4" t="str">
            <v>FY22 MGMA Comp Average</v>
          </cell>
          <cell r="M4" t="str">
            <v>FY23 MGMA Comp Average</v>
          </cell>
          <cell r="N4" t="str">
            <v>2015 wRVU Median</v>
          </cell>
          <cell r="O4" t="str">
            <v>2016 wRVU Median</v>
          </cell>
          <cell r="P4" t="str">
            <v>2017 wRVU Median</v>
          </cell>
          <cell r="Q4" t="str">
            <v>2018 wRVU Median</v>
          </cell>
          <cell r="R4" t="str">
            <v>2019 wRVU Median</v>
          </cell>
          <cell r="S4" t="str">
            <v>2020 wRVU Median</v>
          </cell>
          <cell r="T4" t="str">
            <v>2021 wRVU Median</v>
          </cell>
          <cell r="U4" t="str">
            <v>FY19 MGMA wRVU Average</v>
          </cell>
          <cell r="V4" t="str">
            <v>FY20 MGMA wRVU Average</v>
          </cell>
          <cell r="W4" t="str">
            <v>FY21 MGMA wRVU Average</v>
          </cell>
          <cell r="X4" t="str">
            <v>FY22 MGMA wRVU Average</v>
          </cell>
          <cell r="Y4" t="str">
            <v>FY23 MGMA wRVU Average</v>
          </cell>
          <cell r="Z4" t="str">
            <v>2015 Provider Count</v>
          </cell>
          <cell r="AA4" t="str">
            <v>2016 Provider Count</v>
          </cell>
          <cell r="AB4" t="str">
            <v>2017 Provider Count</v>
          </cell>
          <cell r="AC4" t="str">
            <v>2018 Provider Count</v>
          </cell>
          <cell r="AD4" t="str">
            <v>2019 Provider Count</v>
          </cell>
          <cell r="AE4" t="str">
            <v>2020 Provider Count</v>
          </cell>
          <cell r="AF4" t="str">
            <v>2021 Provider Count</v>
          </cell>
          <cell r="AG4" t="str">
            <v>FY19 wRVU Provider Count Average</v>
          </cell>
          <cell r="AH4" t="str">
            <v>FY20 wRVU Provider Count Average</v>
          </cell>
          <cell r="AI4" t="str">
            <v>FY21 wRVU Provider Count Average</v>
          </cell>
          <cell r="AJ4" t="str">
            <v>FY22 wRVU Provider Count Average</v>
          </cell>
          <cell r="AK4" t="str">
            <v>FY23 wRVU Provider Count Average</v>
          </cell>
          <cell r="AL4" t="str">
            <v>UNC provider Count</v>
          </cell>
          <cell r="AM4" t="str">
            <v>% of 2020 "N" that is UNC FP</v>
          </cell>
          <cell r="AN4" t="str">
            <v>FY19 PMT Rate</v>
          </cell>
          <cell r="AO4" t="str">
            <v>FY20 PMT Rate</v>
          </cell>
          <cell r="AP4" t="str">
            <v>FY21 PMT Rate</v>
          </cell>
          <cell r="AQ4" t="str">
            <v>FY22 PMT Rate</v>
          </cell>
          <cell r="AR4" t="str">
            <v>FY23 PMT Rate</v>
          </cell>
          <cell r="AS4" t="str">
            <v>Low N?</v>
          </cell>
          <cell r="AT4" t="str">
            <v>If no wRVU benchmark request submitted &amp; approved then use:</v>
          </cell>
          <cell r="AU4" t="str">
            <v>Replacement $ per wRVU</v>
          </cell>
          <cell r="AV4" t="str">
            <v>$ per wRVU use in Model</v>
          </cell>
        </row>
        <row r="5">
          <cell r="A5" t="str">
            <v>Allergy/Immunology</v>
          </cell>
          <cell r="B5">
            <v>199338</v>
          </cell>
          <cell r="C5">
            <v>177284</v>
          </cell>
          <cell r="D5">
            <v>185000</v>
          </cell>
          <cell r="E5">
            <v>222803</v>
          </cell>
          <cell r="F5">
            <v>203095</v>
          </cell>
          <cell r="G5">
            <v>207158</v>
          </cell>
          <cell r="H5">
            <v>201118</v>
          </cell>
          <cell r="I5">
            <v>187207.33333333334</v>
          </cell>
          <cell r="J5">
            <v>195029</v>
          </cell>
          <cell r="K5">
            <v>203632.66666666666</v>
          </cell>
          <cell r="L5">
            <v>211018.66666666666</v>
          </cell>
          <cell r="M5">
            <v>203790.33333333334</v>
          </cell>
          <cell r="N5">
            <v>4052</v>
          </cell>
          <cell r="O5">
            <v>3606</v>
          </cell>
          <cell r="P5">
            <v>3362</v>
          </cell>
          <cell r="Q5">
            <v>3604</v>
          </cell>
          <cell r="R5">
            <v>3020</v>
          </cell>
          <cell r="S5">
            <v>3739</v>
          </cell>
          <cell r="T5">
            <v>3272</v>
          </cell>
          <cell r="U5">
            <v>3673.3333333333335</v>
          </cell>
          <cell r="V5">
            <v>3524</v>
          </cell>
          <cell r="W5">
            <v>3328.6666666666665</v>
          </cell>
          <cell r="X5">
            <v>3454.3333333333335</v>
          </cell>
          <cell r="Y5">
            <v>3343.6666666666665</v>
          </cell>
          <cell r="Z5">
            <v>17</v>
          </cell>
          <cell r="AA5">
            <v>11</v>
          </cell>
          <cell r="AB5">
            <v>13</v>
          </cell>
          <cell r="AC5">
            <v>20</v>
          </cell>
          <cell r="AD5">
            <v>25</v>
          </cell>
          <cell r="AE5">
            <v>49</v>
          </cell>
          <cell r="AF5">
            <v>47</v>
          </cell>
          <cell r="AG5">
            <v>13.666666666666666</v>
          </cell>
          <cell r="AH5">
            <v>14.666666666666666</v>
          </cell>
          <cell r="AI5">
            <v>19.333333333333332</v>
          </cell>
          <cell r="AJ5">
            <v>31.333333333333332</v>
          </cell>
          <cell r="AK5">
            <v>40.333333333333336</v>
          </cell>
          <cell r="AL5">
            <v>5</v>
          </cell>
          <cell r="AM5">
            <v>0.10204081632653061</v>
          </cell>
          <cell r="AN5">
            <v>50.963883847549909</v>
          </cell>
          <cell r="AO5">
            <v>55.343076049943249</v>
          </cell>
          <cell r="AP5">
            <v>61.175445623873422</v>
          </cell>
          <cell r="AQ5">
            <v>61.088101900993912</v>
          </cell>
          <cell r="AR5">
            <v>60.948160701824349</v>
          </cell>
          <cell r="AS5" t="str">
            <v/>
          </cell>
          <cell r="AV5">
            <v>60.948160701824349</v>
          </cell>
        </row>
        <row r="6">
          <cell r="A6" t="str">
            <v>Anesthesiology: Pain Management</v>
          </cell>
          <cell r="B6">
            <v>321583</v>
          </cell>
          <cell r="C6">
            <v>338877</v>
          </cell>
          <cell r="D6">
            <v>361388</v>
          </cell>
          <cell r="E6">
            <v>374999</v>
          </cell>
          <cell r="F6">
            <v>376183</v>
          </cell>
          <cell r="G6">
            <v>402869</v>
          </cell>
          <cell r="H6">
            <v>398875</v>
          </cell>
          <cell r="I6">
            <v>340616</v>
          </cell>
          <cell r="J6">
            <v>358421.33333333331</v>
          </cell>
          <cell r="K6">
            <v>370856.66666666669</v>
          </cell>
          <cell r="L6">
            <v>384683.66666666669</v>
          </cell>
          <cell r="M6">
            <v>392642.33333333331</v>
          </cell>
          <cell r="N6">
            <v>5044</v>
          </cell>
          <cell r="O6">
            <v>4266</v>
          </cell>
          <cell r="P6">
            <v>4502</v>
          </cell>
          <cell r="Q6">
            <v>4634</v>
          </cell>
          <cell r="R6">
            <v>4119</v>
          </cell>
          <cell r="S6">
            <v>4890</v>
          </cell>
          <cell r="T6">
            <v>3960</v>
          </cell>
          <cell r="U6">
            <v>4604</v>
          </cell>
          <cell r="V6">
            <v>4467.333333333333</v>
          </cell>
          <cell r="W6">
            <v>4418.333333333333</v>
          </cell>
          <cell r="X6">
            <v>4547.666666666667</v>
          </cell>
          <cell r="Y6">
            <v>4323</v>
          </cell>
          <cell r="Z6">
            <v>25</v>
          </cell>
          <cell r="AA6">
            <v>25</v>
          </cell>
          <cell r="AB6">
            <v>33</v>
          </cell>
          <cell r="AC6">
            <v>43</v>
          </cell>
          <cell r="AD6">
            <v>52</v>
          </cell>
          <cell r="AE6">
            <v>57</v>
          </cell>
          <cell r="AF6">
            <v>80</v>
          </cell>
          <cell r="AG6">
            <v>27.666666666666668</v>
          </cell>
          <cell r="AH6">
            <v>33.666666666666664</v>
          </cell>
          <cell r="AI6">
            <v>42.666666666666664</v>
          </cell>
          <cell r="AJ6">
            <v>50.666666666666664</v>
          </cell>
          <cell r="AK6">
            <v>63</v>
          </cell>
          <cell r="AL6">
            <v>6</v>
          </cell>
          <cell r="AM6">
            <v>0.10526315789473684</v>
          </cell>
          <cell r="AN6">
            <v>73.982623805386623</v>
          </cell>
          <cell r="AO6">
            <v>80.231607222802566</v>
          </cell>
          <cell r="AP6">
            <v>83.935873255375341</v>
          </cell>
          <cell r="AQ6">
            <v>84.589239903247091</v>
          </cell>
          <cell r="AR6">
            <v>90.826355154599426</v>
          </cell>
          <cell r="AS6" t="str">
            <v/>
          </cell>
          <cell r="AV6">
            <v>90.826355154599426</v>
          </cell>
        </row>
        <row r="7">
          <cell r="A7" t="str">
            <v>Cardiology: Electrophysiology</v>
          </cell>
          <cell r="B7">
            <v>300756</v>
          </cell>
          <cell r="C7">
            <v>350333</v>
          </cell>
          <cell r="D7">
            <v>405000</v>
          </cell>
          <cell r="E7">
            <v>434290</v>
          </cell>
          <cell r="F7">
            <v>382356</v>
          </cell>
          <cell r="G7">
            <v>443969</v>
          </cell>
          <cell r="H7">
            <v>452434</v>
          </cell>
          <cell r="I7">
            <v>352029.66666666669</v>
          </cell>
          <cell r="J7">
            <v>396541</v>
          </cell>
          <cell r="K7">
            <v>407215.33333333331</v>
          </cell>
          <cell r="L7">
            <v>420205</v>
          </cell>
          <cell r="M7">
            <v>426253</v>
          </cell>
          <cell r="N7">
            <v>8506</v>
          </cell>
          <cell r="O7">
            <v>9004</v>
          </cell>
          <cell r="P7">
            <v>9587</v>
          </cell>
          <cell r="Q7">
            <v>9585</v>
          </cell>
          <cell r="R7">
            <v>10071</v>
          </cell>
          <cell r="S7">
            <v>10499</v>
          </cell>
          <cell r="T7">
            <v>9753</v>
          </cell>
          <cell r="U7">
            <v>9032.3333333333339</v>
          </cell>
          <cell r="V7">
            <v>9392</v>
          </cell>
          <cell r="W7">
            <v>9747.6666666666661</v>
          </cell>
          <cell r="X7">
            <v>10051.666666666666</v>
          </cell>
          <cell r="Y7">
            <v>10107.666666666666</v>
          </cell>
          <cell r="Z7">
            <v>39</v>
          </cell>
          <cell r="AA7">
            <v>35</v>
          </cell>
          <cell r="AB7">
            <v>25</v>
          </cell>
          <cell r="AC7">
            <v>46</v>
          </cell>
          <cell r="AD7">
            <v>62</v>
          </cell>
          <cell r="AE7">
            <v>114</v>
          </cell>
          <cell r="AF7">
            <v>112</v>
          </cell>
          <cell r="AG7">
            <v>33</v>
          </cell>
          <cell r="AH7">
            <v>35.333333333333336</v>
          </cell>
          <cell r="AI7">
            <v>44.333333333333336</v>
          </cell>
          <cell r="AJ7">
            <v>74</v>
          </cell>
          <cell r="AK7">
            <v>96</v>
          </cell>
          <cell r="AL7">
            <v>5</v>
          </cell>
          <cell r="AM7">
            <v>4.3859649122807015E-2</v>
          </cell>
          <cell r="AN7">
            <v>38.974388308668857</v>
          </cell>
          <cell r="AO7">
            <v>42.221145655877343</v>
          </cell>
          <cell r="AP7">
            <v>41.775672810587153</v>
          </cell>
          <cell r="AQ7">
            <v>41.804510031503902</v>
          </cell>
          <cell r="AR7">
            <v>42.171256142202289</v>
          </cell>
          <cell r="AS7" t="str">
            <v/>
          </cell>
          <cell r="AV7">
            <v>42.171256142202289</v>
          </cell>
        </row>
        <row r="8">
          <cell r="A8" t="str">
            <v>Cardiology: Invasive</v>
          </cell>
          <cell r="B8">
            <v>342319</v>
          </cell>
          <cell r="C8">
            <v>253802</v>
          </cell>
          <cell r="D8">
            <v>274162</v>
          </cell>
          <cell r="E8">
            <v>559250</v>
          </cell>
          <cell r="F8">
            <v>414243</v>
          </cell>
          <cell r="G8">
            <v>368818</v>
          </cell>
          <cell r="H8">
            <v>415861</v>
          </cell>
          <cell r="I8">
            <v>290094.33333333331</v>
          </cell>
          <cell r="J8">
            <v>362404.66666666669</v>
          </cell>
          <cell r="K8">
            <v>415885</v>
          </cell>
          <cell r="L8">
            <v>447437</v>
          </cell>
          <cell r="M8">
            <v>399640.66666666669</v>
          </cell>
          <cell r="N8">
            <v>8377</v>
          </cell>
          <cell r="O8">
            <v>7053</v>
          </cell>
          <cell r="P8">
            <v>8642</v>
          </cell>
          <cell r="Q8">
            <v>7525</v>
          </cell>
          <cell r="R8">
            <v>8465</v>
          </cell>
          <cell r="S8">
            <v>7213</v>
          </cell>
          <cell r="T8">
            <v>8932</v>
          </cell>
          <cell r="U8">
            <v>8024</v>
          </cell>
          <cell r="V8">
            <v>7740</v>
          </cell>
          <cell r="W8">
            <v>8210.6666666666661</v>
          </cell>
          <cell r="X8">
            <v>7734.333333333333</v>
          </cell>
          <cell r="Y8">
            <v>8203.3333333333339</v>
          </cell>
          <cell r="Z8">
            <v>16</v>
          </cell>
          <cell r="AA8">
            <v>16</v>
          </cell>
          <cell r="AB8">
            <v>52</v>
          </cell>
          <cell r="AC8">
            <v>18</v>
          </cell>
          <cell r="AD8">
            <v>79</v>
          </cell>
          <cell r="AE8">
            <v>38</v>
          </cell>
          <cell r="AF8">
            <v>61</v>
          </cell>
          <cell r="AG8">
            <v>28</v>
          </cell>
          <cell r="AH8">
            <v>28.666666666666668</v>
          </cell>
          <cell r="AI8">
            <v>49.666666666666664</v>
          </cell>
          <cell r="AJ8">
            <v>45</v>
          </cell>
          <cell r="AK8">
            <v>59.333333333333336</v>
          </cell>
          <cell r="AL8">
            <v>2</v>
          </cell>
          <cell r="AM8">
            <v>5.2631578947368418E-2</v>
          </cell>
          <cell r="AN8">
            <v>36.153331671651706</v>
          </cell>
          <cell r="AO8">
            <v>46.8223083548665</v>
          </cell>
          <cell r="AP8">
            <v>50.651794413770709</v>
          </cell>
          <cell r="AQ8">
            <v>57.850752057923543</v>
          </cell>
          <cell r="AR8">
            <v>48.716863063795202</v>
          </cell>
          <cell r="AS8" t="str">
            <v/>
          </cell>
          <cell r="AV8">
            <v>48.716863063795202</v>
          </cell>
        </row>
        <row r="9">
          <cell r="A9" t="str">
            <v>Cardiology: Invasive-Interventional</v>
          </cell>
          <cell r="B9">
            <v>352500</v>
          </cell>
          <cell r="C9">
            <v>385409</v>
          </cell>
          <cell r="D9">
            <v>400000</v>
          </cell>
          <cell r="E9">
            <v>436299</v>
          </cell>
          <cell r="F9">
            <v>435563</v>
          </cell>
          <cell r="G9">
            <v>462116</v>
          </cell>
          <cell r="H9">
            <v>469380</v>
          </cell>
          <cell r="I9">
            <v>379303</v>
          </cell>
          <cell r="J9">
            <v>407236</v>
          </cell>
          <cell r="K9">
            <v>423954</v>
          </cell>
          <cell r="L9">
            <v>444659.33333333331</v>
          </cell>
          <cell r="M9">
            <v>455686.33333333331</v>
          </cell>
          <cell r="N9">
            <v>8532</v>
          </cell>
          <cell r="O9">
            <v>9558</v>
          </cell>
          <cell r="P9">
            <v>9029</v>
          </cell>
          <cell r="Q9">
            <v>9247</v>
          </cell>
          <cell r="R9">
            <v>9442</v>
          </cell>
          <cell r="S9">
            <v>9639</v>
          </cell>
          <cell r="T9">
            <v>8059</v>
          </cell>
          <cell r="U9">
            <v>9039.6666666666661</v>
          </cell>
          <cell r="V9">
            <v>9278</v>
          </cell>
          <cell r="W9">
            <v>9239.3333333333339</v>
          </cell>
          <cell r="X9">
            <v>9442.6666666666661</v>
          </cell>
          <cell r="Y9">
            <v>9046.6666666666661</v>
          </cell>
          <cell r="Z9">
            <v>48</v>
          </cell>
          <cell r="AA9">
            <v>57</v>
          </cell>
          <cell r="AB9">
            <v>53</v>
          </cell>
          <cell r="AC9">
            <v>64</v>
          </cell>
          <cell r="AD9">
            <v>75</v>
          </cell>
          <cell r="AE9">
            <v>134</v>
          </cell>
          <cell r="AF9">
            <v>125</v>
          </cell>
          <cell r="AG9">
            <v>52.666666666666664</v>
          </cell>
          <cell r="AH9">
            <v>58</v>
          </cell>
          <cell r="AI9">
            <v>64</v>
          </cell>
          <cell r="AJ9">
            <v>91</v>
          </cell>
          <cell r="AK9">
            <v>111.33333333333333</v>
          </cell>
          <cell r="AL9">
            <v>7</v>
          </cell>
          <cell r="AM9">
            <v>5.2238805970149252E-2</v>
          </cell>
          <cell r="AN9">
            <v>41.959843652052072</v>
          </cell>
          <cell r="AO9">
            <v>43.892649277861608</v>
          </cell>
          <cell r="AP9">
            <v>45.885778194674934</v>
          </cell>
          <cell r="AQ9">
            <v>47.090440553515954</v>
          </cell>
          <cell r="AR9">
            <v>50.370633750921151</v>
          </cell>
          <cell r="AS9" t="str">
            <v/>
          </cell>
          <cell r="AV9">
            <v>50.370633750921151</v>
          </cell>
        </row>
        <row r="10">
          <cell r="A10" t="str">
            <v>Cardiology: Noninvasive</v>
          </cell>
          <cell r="B10">
            <v>275000</v>
          </cell>
          <cell r="C10">
            <v>290567</v>
          </cell>
          <cell r="D10">
            <v>287493</v>
          </cell>
          <cell r="E10">
            <v>336895</v>
          </cell>
          <cell r="F10">
            <v>319903</v>
          </cell>
          <cell r="G10">
            <v>352896</v>
          </cell>
          <cell r="H10">
            <v>356523</v>
          </cell>
          <cell r="I10">
            <v>284353.33333333331</v>
          </cell>
          <cell r="J10">
            <v>304985</v>
          </cell>
          <cell r="K10">
            <v>314763.66666666669</v>
          </cell>
          <cell r="L10">
            <v>336564.66666666669</v>
          </cell>
          <cell r="M10">
            <v>343107.33333333331</v>
          </cell>
          <cell r="N10">
            <v>6311</v>
          </cell>
          <cell r="O10">
            <v>6376</v>
          </cell>
          <cell r="P10">
            <v>6469</v>
          </cell>
          <cell r="Q10">
            <v>7262</v>
          </cell>
          <cell r="R10">
            <v>7279</v>
          </cell>
          <cell r="S10">
            <v>7221</v>
          </cell>
          <cell r="T10">
            <v>6522</v>
          </cell>
          <cell r="U10">
            <v>6385.333333333333</v>
          </cell>
          <cell r="V10">
            <v>6702.333333333333</v>
          </cell>
          <cell r="W10">
            <v>7003.333333333333</v>
          </cell>
          <cell r="X10">
            <v>7254</v>
          </cell>
          <cell r="Y10">
            <v>7007.333333333333</v>
          </cell>
          <cell r="Z10">
            <v>164</v>
          </cell>
          <cell r="AA10">
            <v>157</v>
          </cell>
          <cell r="AB10">
            <v>127</v>
          </cell>
          <cell r="AC10">
            <v>214</v>
          </cell>
          <cell r="AD10">
            <v>252</v>
          </cell>
          <cell r="AE10">
            <v>464</v>
          </cell>
          <cell r="AF10">
            <v>440</v>
          </cell>
          <cell r="AG10">
            <v>149.33333333333334</v>
          </cell>
          <cell r="AH10">
            <v>166</v>
          </cell>
          <cell r="AI10">
            <v>197.66666666666666</v>
          </cell>
          <cell r="AJ10">
            <v>310</v>
          </cell>
          <cell r="AK10">
            <v>385.33333333333331</v>
          </cell>
          <cell r="AL10">
            <v>13</v>
          </cell>
          <cell r="AM10">
            <v>2.8017241379310345E-2</v>
          </cell>
          <cell r="AN10">
            <v>44.53226143244936</v>
          </cell>
          <cell r="AO10">
            <v>45.504301984383552</v>
          </cell>
          <cell r="AP10">
            <v>44.944835792479779</v>
          </cell>
          <cell r="AQ10">
            <v>46.397114235823913</v>
          </cell>
          <cell r="AR10">
            <v>48.964037674816858</v>
          </cell>
          <cell r="AS10" t="str">
            <v/>
          </cell>
          <cell r="AV10">
            <v>48.964037674816858</v>
          </cell>
        </row>
        <row r="11">
          <cell r="A11" t="str">
            <v>Critical Care: Intensivist</v>
          </cell>
          <cell r="B11">
            <v>284041</v>
          </cell>
          <cell r="C11">
            <v>300002</v>
          </cell>
          <cell r="D11">
            <v>265247</v>
          </cell>
          <cell r="E11">
            <v>367400</v>
          </cell>
          <cell r="F11">
            <v>352617</v>
          </cell>
          <cell r="G11">
            <v>340436</v>
          </cell>
          <cell r="H11">
            <v>340800</v>
          </cell>
          <cell r="I11">
            <v>283096.66666666669</v>
          </cell>
          <cell r="J11">
            <v>310883</v>
          </cell>
          <cell r="K11">
            <v>328421.33333333331</v>
          </cell>
          <cell r="L11">
            <v>353484.33333333331</v>
          </cell>
          <cell r="M11">
            <v>344617.66666666669</v>
          </cell>
          <cell r="N11">
            <v>4562</v>
          </cell>
          <cell r="O11">
            <v>7369</v>
          </cell>
          <cell r="P11">
            <v>5369</v>
          </cell>
          <cell r="Q11">
            <v>4277</v>
          </cell>
          <cell r="R11">
            <v>5251</v>
          </cell>
          <cell r="S11">
            <v>5750</v>
          </cell>
          <cell r="T11">
            <v>4768</v>
          </cell>
          <cell r="U11">
            <v>5766.666666666667</v>
          </cell>
          <cell r="V11">
            <v>5671.666666666667</v>
          </cell>
          <cell r="W11">
            <v>4965.666666666667</v>
          </cell>
          <cell r="X11">
            <v>5092.666666666667</v>
          </cell>
          <cell r="Y11">
            <v>5256.333333333333</v>
          </cell>
          <cell r="Z11">
            <v>14</v>
          </cell>
          <cell r="AA11">
            <v>60</v>
          </cell>
          <cell r="AB11">
            <v>12</v>
          </cell>
          <cell r="AC11">
            <v>37</v>
          </cell>
          <cell r="AD11">
            <v>113</v>
          </cell>
          <cell r="AE11">
            <v>141</v>
          </cell>
          <cell r="AF11">
            <v>133</v>
          </cell>
          <cell r="AG11">
            <v>28.666666666666668</v>
          </cell>
          <cell r="AH11">
            <v>36.333333333333336</v>
          </cell>
          <cell r="AI11">
            <v>54</v>
          </cell>
          <cell r="AJ11">
            <v>97</v>
          </cell>
          <cell r="AK11">
            <v>129</v>
          </cell>
          <cell r="AL11">
            <v>5</v>
          </cell>
          <cell r="AM11">
            <v>3.5460992907801421E-2</v>
          </cell>
          <cell r="AN11">
            <v>49.091907514450867</v>
          </cell>
          <cell r="AO11">
            <v>54.813341169556274</v>
          </cell>
          <cell r="AP11">
            <v>66.138417130965962</v>
          </cell>
          <cell r="AQ11">
            <v>69.410459484225683</v>
          </cell>
          <cell r="AR11">
            <v>65.562369205403016</v>
          </cell>
          <cell r="AS11" t="str">
            <v/>
          </cell>
          <cell r="AV11">
            <v>65.562369205403016</v>
          </cell>
        </row>
        <row r="12">
          <cell r="A12" t="str">
            <v>Dermatology</v>
          </cell>
          <cell r="B12">
            <v>300409</v>
          </cell>
          <cell r="C12">
            <v>307889</v>
          </cell>
          <cell r="D12">
            <v>311125</v>
          </cell>
          <cell r="E12">
            <v>333624</v>
          </cell>
          <cell r="F12">
            <v>304587</v>
          </cell>
          <cell r="G12">
            <v>318386</v>
          </cell>
          <cell r="H12">
            <v>318107</v>
          </cell>
          <cell r="I12">
            <v>306474.33333333331</v>
          </cell>
          <cell r="J12">
            <v>317546</v>
          </cell>
          <cell r="K12">
            <v>316445.33333333331</v>
          </cell>
          <cell r="L12">
            <v>318865.66666666669</v>
          </cell>
          <cell r="M12">
            <v>313693.33333333331</v>
          </cell>
          <cell r="N12">
            <v>6831</v>
          </cell>
          <cell r="O12">
            <v>6871</v>
          </cell>
          <cell r="P12">
            <v>6588</v>
          </cell>
          <cell r="Q12">
            <v>6206</v>
          </cell>
          <cell r="R12">
            <v>6275</v>
          </cell>
          <cell r="S12">
            <v>6891</v>
          </cell>
          <cell r="T12">
            <v>6180</v>
          </cell>
          <cell r="U12">
            <v>6763.333333333333</v>
          </cell>
          <cell r="V12">
            <v>6555</v>
          </cell>
          <cell r="W12">
            <v>6356.333333333333</v>
          </cell>
          <cell r="X12">
            <v>6457.333333333333</v>
          </cell>
          <cell r="Y12">
            <v>6448.666666666667</v>
          </cell>
          <cell r="Z12">
            <v>70</v>
          </cell>
          <cell r="AA12">
            <v>49</v>
          </cell>
          <cell r="AB12">
            <v>60</v>
          </cell>
          <cell r="AC12">
            <v>75</v>
          </cell>
          <cell r="AD12">
            <v>97</v>
          </cell>
          <cell r="AE12">
            <v>108</v>
          </cell>
          <cell r="AF12">
            <v>135</v>
          </cell>
          <cell r="AG12">
            <v>59.666666666666664</v>
          </cell>
          <cell r="AH12">
            <v>61.333333333333336</v>
          </cell>
          <cell r="AI12">
            <v>77.333333333333329</v>
          </cell>
          <cell r="AJ12">
            <v>93.333333333333329</v>
          </cell>
          <cell r="AK12">
            <v>113.33333333333333</v>
          </cell>
          <cell r="AL12">
            <v>16</v>
          </cell>
          <cell r="AM12">
            <v>0.14814814814814814</v>
          </cell>
          <cell r="AN12">
            <v>45.31409561360276</v>
          </cell>
          <cell r="AO12">
            <v>48.44332570556827</v>
          </cell>
          <cell r="AP12">
            <v>49.784257171325187</v>
          </cell>
          <cell r="AQ12">
            <v>49.380394383646504</v>
          </cell>
          <cell r="AR12">
            <v>48.644681071022426</v>
          </cell>
          <cell r="AS12" t="str">
            <v/>
          </cell>
          <cell r="AV12">
            <v>48.644681071022426</v>
          </cell>
        </row>
        <row r="13">
          <cell r="A13" t="str">
            <v>Dermatology: Dermatopathology</v>
          </cell>
          <cell r="B13" t="str">
            <v>*</v>
          </cell>
          <cell r="C13" t="str">
            <v>*</v>
          </cell>
          <cell r="D13">
            <v>430705</v>
          </cell>
          <cell r="E13">
            <v>491034</v>
          </cell>
          <cell r="F13">
            <v>408908</v>
          </cell>
          <cell r="G13">
            <v>384972</v>
          </cell>
          <cell r="H13">
            <v>384972</v>
          </cell>
          <cell r="I13">
            <v>430705</v>
          </cell>
          <cell r="J13">
            <v>460869.5</v>
          </cell>
          <cell r="K13">
            <v>443549</v>
          </cell>
          <cell r="L13">
            <v>428304.66666666669</v>
          </cell>
          <cell r="M13">
            <v>392950.66666666669</v>
          </cell>
          <cell r="N13" t="str">
            <v>*</v>
          </cell>
          <cell r="O13" t="str">
            <v>*</v>
          </cell>
          <cell r="P13" t="str">
            <v>*</v>
          </cell>
          <cell r="Q13" t="str">
            <v>*</v>
          </cell>
          <cell r="R13">
            <v>9708</v>
          </cell>
          <cell r="S13">
            <v>9101</v>
          </cell>
          <cell r="T13">
            <v>7461</v>
          </cell>
          <cell r="U13" t="str">
            <v>*</v>
          </cell>
          <cell r="V13" t="str">
            <v>*</v>
          </cell>
          <cell r="W13">
            <v>9708</v>
          </cell>
          <cell r="X13">
            <v>9404.5</v>
          </cell>
          <cell r="Y13">
            <v>8756.6666666666661</v>
          </cell>
          <cell r="Z13">
            <v>5</v>
          </cell>
          <cell r="AA13">
            <v>0</v>
          </cell>
          <cell r="AB13">
            <v>7</v>
          </cell>
          <cell r="AC13">
            <v>8</v>
          </cell>
          <cell r="AD13">
            <v>15</v>
          </cell>
          <cell r="AE13">
            <v>15</v>
          </cell>
          <cell r="AF13">
            <v>11</v>
          </cell>
          <cell r="AG13">
            <v>4</v>
          </cell>
          <cell r="AH13">
            <v>5</v>
          </cell>
          <cell r="AI13">
            <v>10</v>
          </cell>
          <cell r="AJ13">
            <v>12.666666666666666</v>
          </cell>
          <cell r="AK13">
            <v>13.666666666666666</v>
          </cell>
          <cell r="AL13">
            <v>1</v>
          </cell>
          <cell r="AM13">
            <v>6.6666666666666666E-2</v>
          </cell>
          <cell r="AN13" t="str">
            <v>*</v>
          </cell>
          <cell r="AO13" t="str">
            <v>*</v>
          </cell>
          <cell r="AP13">
            <v>45.689019365471779</v>
          </cell>
          <cell r="AQ13">
            <v>45.542523969021921</v>
          </cell>
          <cell r="AR13">
            <v>44.874457556147703</v>
          </cell>
          <cell r="AS13" t="str">
            <v>Low N</v>
          </cell>
          <cell r="AT13" t="str">
            <v>Pathology: Anatomic</v>
          </cell>
          <cell r="AU13">
            <v>40.362280701754386</v>
          </cell>
          <cell r="AV13">
            <v>40.362280701754386</v>
          </cell>
        </row>
        <row r="14">
          <cell r="A14" t="str">
            <v>Dermatology: Mohs Surgery</v>
          </cell>
          <cell r="B14">
            <v>749346</v>
          </cell>
          <cell r="C14">
            <v>621084</v>
          </cell>
          <cell r="D14">
            <v>717511</v>
          </cell>
          <cell r="E14">
            <v>707314</v>
          </cell>
          <cell r="F14">
            <v>617891</v>
          </cell>
          <cell r="G14">
            <v>576093</v>
          </cell>
          <cell r="H14">
            <v>554536</v>
          </cell>
          <cell r="I14">
            <v>695980.33333333337</v>
          </cell>
          <cell r="J14">
            <v>681969.66666666663</v>
          </cell>
          <cell r="K14">
            <v>680905.33333333337</v>
          </cell>
          <cell r="L14">
            <v>633766</v>
          </cell>
          <cell r="M14">
            <v>582840</v>
          </cell>
          <cell r="N14">
            <v>18678</v>
          </cell>
          <cell r="O14" t="str">
            <v>*</v>
          </cell>
          <cell r="P14">
            <v>21157</v>
          </cell>
          <cell r="Q14">
            <v>21640</v>
          </cell>
          <cell r="R14">
            <v>16121</v>
          </cell>
          <cell r="S14">
            <v>13947</v>
          </cell>
          <cell r="T14">
            <v>12205</v>
          </cell>
          <cell r="U14">
            <v>19917.5</v>
          </cell>
          <cell r="V14">
            <v>21398.5</v>
          </cell>
          <cell r="W14">
            <v>19639.333333333332</v>
          </cell>
          <cell r="X14">
            <v>17236</v>
          </cell>
          <cell r="Y14">
            <v>14091</v>
          </cell>
          <cell r="Z14">
            <v>14</v>
          </cell>
          <cell r="AA14">
            <v>9</v>
          </cell>
          <cell r="AB14">
            <v>12</v>
          </cell>
          <cell r="AC14">
            <v>23</v>
          </cell>
          <cell r="AD14">
            <v>28</v>
          </cell>
          <cell r="AE14">
            <v>30</v>
          </cell>
          <cell r="AF14">
            <v>29</v>
          </cell>
          <cell r="AG14">
            <v>11.666666666666666</v>
          </cell>
          <cell r="AH14">
            <v>14.666666666666666</v>
          </cell>
          <cell r="AI14">
            <v>21</v>
          </cell>
          <cell r="AJ14">
            <v>27</v>
          </cell>
          <cell r="AK14">
            <v>29</v>
          </cell>
          <cell r="AL14">
            <v>2</v>
          </cell>
          <cell r="AM14">
            <v>6.6666666666666666E-2</v>
          </cell>
          <cell r="AN14">
            <v>34.943157190075731</v>
          </cell>
          <cell r="AO14">
            <v>31.869975309795855</v>
          </cell>
          <cell r="AP14">
            <v>34.670491191147022</v>
          </cell>
          <cell r="AQ14">
            <v>36.769900208865167</v>
          </cell>
          <cell r="AR14">
            <v>41.362571854375133</v>
          </cell>
          <cell r="AS14" t="str">
            <v/>
          </cell>
          <cell r="AV14">
            <v>41.362571854375133</v>
          </cell>
        </row>
        <row r="15">
          <cell r="A15" t="str">
            <v>Emergency Medicine</v>
          </cell>
          <cell r="B15">
            <v>269200</v>
          </cell>
          <cell r="C15">
            <v>265511</v>
          </cell>
          <cell r="D15">
            <v>275180</v>
          </cell>
          <cell r="E15">
            <v>291838</v>
          </cell>
          <cell r="F15">
            <v>299537</v>
          </cell>
          <cell r="G15">
            <v>304159</v>
          </cell>
          <cell r="H15">
            <v>314962</v>
          </cell>
          <cell r="I15">
            <v>269963.66666666669</v>
          </cell>
          <cell r="J15">
            <v>277509.66666666669</v>
          </cell>
          <cell r="K15">
            <v>288851.66666666669</v>
          </cell>
          <cell r="L15">
            <v>298511.33333333331</v>
          </cell>
          <cell r="M15">
            <v>306219.33333333331</v>
          </cell>
          <cell r="N15">
            <v>8039</v>
          </cell>
          <cell r="O15">
            <v>8580</v>
          </cell>
          <cell r="P15">
            <v>8382</v>
          </cell>
          <cell r="Q15">
            <v>7895</v>
          </cell>
          <cell r="R15">
            <v>7843</v>
          </cell>
          <cell r="S15">
            <v>8236</v>
          </cell>
          <cell r="T15">
            <v>7010</v>
          </cell>
          <cell r="U15">
            <v>8333.6666666666661</v>
          </cell>
          <cell r="V15">
            <v>8285.6666666666661</v>
          </cell>
          <cell r="W15">
            <v>8040</v>
          </cell>
          <cell r="X15">
            <v>7991.333333333333</v>
          </cell>
          <cell r="Y15">
            <v>7696.333333333333</v>
          </cell>
          <cell r="Z15">
            <v>193</v>
          </cell>
          <cell r="AA15">
            <v>189</v>
          </cell>
          <cell r="AB15">
            <v>275</v>
          </cell>
          <cell r="AC15">
            <v>299</v>
          </cell>
          <cell r="AD15">
            <v>508</v>
          </cell>
          <cell r="AE15">
            <v>773</v>
          </cell>
          <cell r="AF15">
            <v>819</v>
          </cell>
          <cell r="AG15">
            <v>219</v>
          </cell>
          <cell r="AH15">
            <v>254.33333333333334</v>
          </cell>
          <cell r="AI15">
            <v>360.66666666666669</v>
          </cell>
          <cell r="AJ15">
            <v>526.66666666666663</v>
          </cell>
          <cell r="AK15">
            <v>700</v>
          </cell>
          <cell r="AL15">
            <v>31</v>
          </cell>
          <cell r="AM15">
            <v>4.0103492884864166E-2</v>
          </cell>
          <cell r="AN15">
            <v>32.394344226230956</v>
          </cell>
          <cell r="AO15">
            <v>33.492738464014167</v>
          </cell>
          <cell r="AP15">
            <v>35.926824212271974</v>
          </cell>
          <cell r="AQ15">
            <v>37.354383915908898</v>
          </cell>
          <cell r="AR15">
            <v>39.787691108319976</v>
          </cell>
          <cell r="AS15" t="str">
            <v/>
          </cell>
          <cell r="AV15">
            <v>39.787691108319976</v>
          </cell>
        </row>
        <row r="16">
          <cell r="A16" t="str">
            <v>Endocrinology/Metabolism</v>
          </cell>
          <cell r="B16">
            <v>192301</v>
          </cell>
          <cell r="C16">
            <v>193123</v>
          </cell>
          <cell r="D16">
            <v>197819</v>
          </cell>
          <cell r="E16">
            <v>212019</v>
          </cell>
          <cell r="F16">
            <v>203411</v>
          </cell>
          <cell r="G16">
            <v>207324</v>
          </cell>
          <cell r="H16">
            <v>206816</v>
          </cell>
          <cell r="I16">
            <v>194414.33333333334</v>
          </cell>
          <cell r="J16">
            <v>200987</v>
          </cell>
          <cell r="K16">
            <v>204416.33333333334</v>
          </cell>
          <cell r="L16">
            <v>207584.66666666666</v>
          </cell>
          <cell r="M16">
            <v>205850.33333333334</v>
          </cell>
          <cell r="N16">
            <v>4036</v>
          </cell>
          <cell r="O16">
            <v>4121</v>
          </cell>
          <cell r="P16">
            <v>4103</v>
          </cell>
          <cell r="Q16">
            <v>4094</v>
          </cell>
          <cell r="R16">
            <v>4201</v>
          </cell>
          <cell r="S16">
            <v>4640</v>
          </cell>
          <cell r="T16">
            <v>3971</v>
          </cell>
          <cell r="U16">
            <v>4086.6666666666665</v>
          </cell>
          <cell r="V16">
            <v>4106</v>
          </cell>
          <cell r="W16">
            <v>4132.666666666667</v>
          </cell>
          <cell r="X16">
            <v>4311.666666666667</v>
          </cell>
          <cell r="Y16">
            <v>4270.666666666667</v>
          </cell>
          <cell r="Z16">
            <v>69</v>
          </cell>
          <cell r="AA16">
            <v>63</v>
          </cell>
          <cell r="AB16">
            <v>51</v>
          </cell>
          <cell r="AC16">
            <v>81</v>
          </cell>
          <cell r="AD16">
            <v>125</v>
          </cell>
          <cell r="AE16">
            <v>183</v>
          </cell>
          <cell r="AF16">
            <v>194</v>
          </cell>
          <cell r="AG16">
            <v>61</v>
          </cell>
          <cell r="AH16">
            <v>65</v>
          </cell>
          <cell r="AI16">
            <v>85.666666666666671</v>
          </cell>
          <cell r="AJ16">
            <v>129.66666666666666</v>
          </cell>
          <cell r="AK16">
            <v>167.33333333333334</v>
          </cell>
          <cell r="AL16">
            <v>14</v>
          </cell>
          <cell r="AM16">
            <v>7.650273224043716E-2</v>
          </cell>
          <cell r="AN16">
            <v>47.572838499184343</v>
          </cell>
          <cell r="AO16">
            <v>48.949585971748661</v>
          </cell>
          <cell r="AP16">
            <v>49.463542506855944</v>
          </cell>
          <cell r="AQ16">
            <v>48.144878237340542</v>
          </cell>
          <cell r="AR16">
            <v>48.200983453012796</v>
          </cell>
          <cell r="AS16" t="str">
            <v/>
          </cell>
          <cell r="AV16">
            <v>48.200983453012796</v>
          </cell>
        </row>
        <row r="17">
          <cell r="A17" t="str">
            <v>Family Medicine (with OB)</v>
          </cell>
          <cell r="B17">
            <v>192717</v>
          </cell>
          <cell r="C17">
            <v>195431</v>
          </cell>
          <cell r="D17">
            <v>193360</v>
          </cell>
          <cell r="E17">
            <v>214218</v>
          </cell>
          <cell r="F17">
            <v>218971</v>
          </cell>
          <cell r="G17">
            <v>214852</v>
          </cell>
          <cell r="H17">
            <v>216025</v>
          </cell>
          <cell r="I17">
            <v>193836</v>
          </cell>
          <cell r="J17">
            <v>201003</v>
          </cell>
          <cell r="K17">
            <v>208849.66666666666</v>
          </cell>
          <cell r="L17">
            <v>216013.66666666666</v>
          </cell>
          <cell r="M17">
            <v>216616</v>
          </cell>
          <cell r="N17">
            <v>5430</v>
          </cell>
          <cell r="O17">
            <v>4601</v>
          </cell>
          <cell r="P17">
            <v>5343</v>
          </cell>
          <cell r="Q17">
            <v>5357</v>
          </cell>
          <cell r="R17">
            <v>5023</v>
          </cell>
          <cell r="S17">
            <v>5212</v>
          </cell>
          <cell r="T17">
            <v>4602</v>
          </cell>
          <cell r="U17">
            <v>5124.666666666667</v>
          </cell>
          <cell r="V17">
            <v>5100.333333333333</v>
          </cell>
          <cell r="W17">
            <v>5241</v>
          </cell>
          <cell r="X17">
            <v>5197.333333333333</v>
          </cell>
          <cell r="Y17">
            <v>4945.666666666667</v>
          </cell>
          <cell r="Z17">
            <v>47</v>
          </cell>
          <cell r="AA17">
            <v>21</v>
          </cell>
          <cell r="AB17">
            <v>71</v>
          </cell>
          <cell r="AC17">
            <v>59</v>
          </cell>
          <cell r="AD17">
            <v>39</v>
          </cell>
          <cell r="AE17">
            <v>72</v>
          </cell>
          <cell r="AF17">
            <v>78</v>
          </cell>
          <cell r="AG17">
            <v>46.333333333333336</v>
          </cell>
          <cell r="AH17">
            <v>50.333333333333336</v>
          </cell>
          <cell r="AI17">
            <v>56.333333333333336</v>
          </cell>
          <cell r="AJ17">
            <v>56.666666666666664</v>
          </cell>
          <cell r="AK17">
            <v>63</v>
          </cell>
          <cell r="AL17">
            <v>8</v>
          </cell>
          <cell r="AM17">
            <v>0.1111111111111111</v>
          </cell>
          <cell r="AN17">
            <v>37.824118641862881</v>
          </cell>
          <cell r="AO17">
            <v>39.409777138749106</v>
          </cell>
          <cell r="AP17">
            <v>39.849201806271068</v>
          </cell>
          <cell r="AQ17">
            <v>41.562403796818884</v>
          </cell>
          <cell r="AR17">
            <v>43.799150771719347</v>
          </cell>
          <cell r="AS17" t="str">
            <v/>
          </cell>
          <cell r="AV17">
            <v>43.799150771719347</v>
          </cell>
        </row>
        <row r="18">
          <cell r="A18" t="str">
            <v>Family Medicine (without OB)</v>
          </cell>
          <cell r="B18">
            <v>188091</v>
          </cell>
          <cell r="C18">
            <v>184409</v>
          </cell>
          <cell r="D18">
            <v>182776</v>
          </cell>
          <cell r="E18">
            <v>200824</v>
          </cell>
          <cell r="F18">
            <v>212006</v>
          </cell>
          <cell r="G18">
            <v>220932</v>
          </cell>
          <cell r="H18">
            <v>218948</v>
          </cell>
          <cell r="I18">
            <v>185092</v>
          </cell>
          <cell r="J18">
            <v>189336.33333333334</v>
          </cell>
          <cell r="K18">
            <v>198535.33333333334</v>
          </cell>
          <cell r="L18">
            <v>211254</v>
          </cell>
          <cell r="M18">
            <v>217295.33333333334</v>
          </cell>
          <cell r="N18">
            <v>4282</v>
          </cell>
          <cell r="O18">
            <v>4930</v>
          </cell>
          <cell r="P18">
            <v>4770</v>
          </cell>
          <cell r="Q18">
            <v>5101</v>
          </cell>
          <cell r="R18">
            <v>4285</v>
          </cell>
          <cell r="S18">
            <v>4457</v>
          </cell>
          <cell r="T18">
            <v>3949</v>
          </cell>
          <cell r="U18">
            <v>4660.666666666667</v>
          </cell>
          <cell r="V18">
            <v>4933.666666666667</v>
          </cell>
          <cell r="W18">
            <v>4718.666666666667</v>
          </cell>
          <cell r="X18">
            <v>4614.333333333333</v>
          </cell>
          <cell r="Y18">
            <v>4230.333333333333</v>
          </cell>
          <cell r="Z18">
            <v>98</v>
          </cell>
          <cell r="AA18">
            <v>87</v>
          </cell>
          <cell r="AB18">
            <v>152</v>
          </cell>
          <cell r="AC18">
            <v>200</v>
          </cell>
          <cell r="AD18">
            <v>315</v>
          </cell>
          <cell r="AE18">
            <v>500</v>
          </cell>
          <cell r="AF18">
            <v>520</v>
          </cell>
          <cell r="AG18">
            <v>112.33333333333333</v>
          </cell>
          <cell r="AH18">
            <v>146.33333333333334</v>
          </cell>
          <cell r="AI18">
            <v>222.33333333333334</v>
          </cell>
          <cell r="AJ18">
            <v>338.33333333333331</v>
          </cell>
          <cell r="AK18">
            <v>445</v>
          </cell>
          <cell r="AL18">
            <v>44</v>
          </cell>
          <cell r="AM18">
            <v>8.7999999999999995E-2</v>
          </cell>
          <cell r="AN18">
            <v>39.713631812330135</v>
          </cell>
          <cell r="AO18">
            <v>38.37639348692656</v>
          </cell>
          <cell r="AP18">
            <v>42.074456061034191</v>
          </cell>
          <cell r="AQ18">
            <v>45.782128151412266</v>
          </cell>
          <cell r="AR18">
            <v>51.366007406823741</v>
          </cell>
          <cell r="AS18" t="str">
            <v/>
          </cell>
          <cell r="AV18">
            <v>51.366007406823741</v>
          </cell>
        </row>
        <row r="19">
          <cell r="A19" t="str">
            <v>Family Medicine: Ambulatory Only (No Inpatient Work)</v>
          </cell>
          <cell r="B19" t="str">
            <v>*</v>
          </cell>
          <cell r="C19">
            <v>163097</v>
          </cell>
          <cell r="D19">
            <v>158681</v>
          </cell>
          <cell r="E19">
            <v>180000</v>
          </cell>
          <cell r="F19">
            <v>239874</v>
          </cell>
          <cell r="G19">
            <v>240218</v>
          </cell>
          <cell r="H19">
            <v>218227</v>
          </cell>
          <cell r="I19">
            <v>160889</v>
          </cell>
          <cell r="J19">
            <v>167259.33333333334</v>
          </cell>
          <cell r="K19">
            <v>192851.66666666666</v>
          </cell>
          <cell r="L19">
            <v>220030.66666666666</v>
          </cell>
          <cell r="M19">
            <v>232773</v>
          </cell>
          <cell r="N19" t="str">
            <v>*</v>
          </cell>
          <cell r="O19">
            <v>4531</v>
          </cell>
          <cell r="P19" t="str">
            <v>*</v>
          </cell>
          <cell r="Q19" t="str">
            <v>*</v>
          </cell>
          <cell r="R19">
            <v>3811</v>
          </cell>
          <cell r="S19">
            <v>4256</v>
          </cell>
          <cell r="T19">
            <v>4361</v>
          </cell>
          <cell r="U19">
            <v>4531</v>
          </cell>
          <cell r="V19">
            <v>4531</v>
          </cell>
          <cell r="W19">
            <v>3811</v>
          </cell>
          <cell r="X19">
            <v>4033.5</v>
          </cell>
          <cell r="Y19">
            <v>4142.666666666667</v>
          </cell>
          <cell r="Z19" t="str">
            <v>*</v>
          </cell>
          <cell r="AA19">
            <v>11</v>
          </cell>
          <cell r="AB19">
            <v>9</v>
          </cell>
          <cell r="AC19">
            <v>7</v>
          </cell>
          <cell r="AD19">
            <v>60</v>
          </cell>
          <cell r="AE19">
            <v>78</v>
          </cell>
          <cell r="AF19">
            <v>66</v>
          </cell>
          <cell r="AG19">
            <v>10</v>
          </cell>
          <cell r="AH19">
            <v>9</v>
          </cell>
          <cell r="AI19">
            <v>25.333333333333332</v>
          </cell>
          <cell r="AJ19">
            <v>48.333333333333336</v>
          </cell>
          <cell r="AK19">
            <v>68</v>
          </cell>
          <cell r="AL19">
            <v>0</v>
          </cell>
          <cell r="AM19">
            <v>0</v>
          </cell>
          <cell r="AN19">
            <v>35.508497020525269</v>
          </cell>
          <cell r="AO19">
            <v>36.914441256529095</v>
          </cell>
          <cell r="AP19">
            <v>50.603953468031136</v>
          </cell>
          <cell r="AQ19">
            <v>54.550803685798108</v>
          </cell>
          <cell r="AR19">
            <v>56.18916961699388</v>
          </cell>
          <cell r="AS19" t="str">
            <v/>
          </cell>
          <cell r="AV19">
            <v>56.18916961699388</v>
          </cell>
        </row>
        <row r="20">
          <cell r="A20" t="str">
            <v>Family Medicine: Sports Medicine</v>
          </cell>
          <cell r="B20">
            <v>184207</v>
          </cell>
          <cell r="C20">
            <v>185792</v>
          </cell>
          <cell r="D20">
            <v>184397</v>
          </cell>
          <cell r="E20">
            <v>203936</v>
          </cell>
          <cell r="F20">
            <v>242282</v>
          </cell>
          <cell r="G20">
            <v>264948</v>
          </cell>
          <cell r="H20">
            <v>251850</v>
          </cell>
          <cell r="I20">
            <v>184798.66666666666</v>
          </cell>
          <cell r="J20">
            <v>191375</v>
          </cell>
          <cell r="K20">
            <v>210205</v>
          </cell>
          <cell r="L20">
            <v>237055.33333333334</v>
          </cell>
          <cell r="M20">
            <v>253026.66666666666</v>
          </cell>
          <cell r="N20">
            <v>4560</v>
          </cell>
          <cell r="O20">
            <v>4187</v>
          </cell>
          <cell r="P20">
            <v>5543</v>
          </cell>
          <cell r="Q20">
            <v>5663</v>
          </cell>
          <cell r="R20">
            <v>5595</v>
          </cell>
          <cell r="S20">
            <v>6308</v>
          </cell>
          <cell r="T20">
            <v>4633</v>
          </cell>
          <cell r="U20">
            <v>4763.333333333333</v>
          </cell>
          <cell r="V20">
            <v>5131</v>
          </cell>
          <cell r="W20">
            <v>5600.333333333333</v>
          </cell>
          <cell r="X20">
            <v>5855.333333333333</v>
          </cell>
          <cell r="Y20">
            <v>5512</v>
          </cell>
          <cell r="Z20">
            <v>12</v>
          </cell>
          <cell r="AA20">
            <v>13</v>
          </cell>
          <cell r="AB20">
            <v>14</v>
          </cell>
          <cell r="AC20">
            <v>14</v>
          </cell>
          <cell r="AD20">
            <v>14</v>
          </cell>
          <cell r="AE20">
            <v>21</v>
          </cell>
          <cell r="AF20">
            <v>31</v>
          </cell>
          <cell r="AG20">
            <v>13</v>
          </cell>
          <cell r="AH20">
            <v>13.666666666666666</v>
          </cell>
          <cell r="AI20">
            <v>14</v>
          </cell>
          <cell r="AJ20">
            <v>16.333333333333332</v>
          </cell>
          <cell r="AK20">
            <v>22</v>
          </cell>
          <cell r="AL20">
            <v>0</v>
          </cell>
          <cell r="AM20">
            <v>0</v>
          </cell>
          <cell r="AN20">
            <v>38.796081175647309</v>
          </cell>
          <cell r="AO20">
            <v>37.297797700253362</v>
          </cell>
          <cell r="AP20">
            <v>37.534372953990832</v>
          </cell>
          <cell r="AQ20">
            <v>40.485369463736767</v>
          </cell>
          <cell r="AR20">
            <v>45.904692791485246</v>
          </cell>
          <cell r="AS20" t="str">
            <v/>
          </cell>
          <cell r="AV20">
            <v>45.904692791485246</v>
          </cell>
        </row>
        <row r="21">
          <cell r="A21" t="str">
            <v>Gastroenterology</v>
          </cell>
          <cell r="B21">
            <v>300000</v>
          </cell>
          <cell r="C21">
            <v>282574</v>
          </cell>
          <cell r="D21">
            <v>324950</v>
          </cell>
          <cell r="E21">
            <v>315001</v>
          </cell>
          <cell r="F21">
            <v>323043</v>
          </cell>
          <cell r="G21">
            <v>336433</v>
          </cell>
          <cell r="H21">
            <v>346801</v>
          </cell>
          <cell r="I21">
            <v>302508</v>
          </cell>
          <cell r="J21">
            <v>307508.33333333331</v>
          </cell>
          <cell r="K21">
            <v>320998</v>
          </cell>
          <cell r="L21">
            <v>324825.66666666669</v>
          </cell>
          <cell r="M21">
            <v>335425.66666666669</v>
          </cell>
          <cell r="N21">
            <v>6445</v>
          </cell>
          <cell r="O21">
            <v>6653</v>
          </cell>
          <cell r="P21">
            <v>7920</v>
          </cell>
          <cell r="Q21">
            <v>6761</v>
          </cell>
          <cell r="R21">
            <v>6675</v>
          </cell>
          <cell r="S21">
            <v>6752</v>
          </cell>
          <cell r="T21">
            <v>5998</v>
          </cell>
          <cell r="U21">
            <v>7006</v>
          </cell>
          <cell r="V21">
            <v>7111.333333333333</v>
          </cell>
          <cell r="W21">
            <v>7118.666666666667</v>
          </cell>
          <cell r="X21">
            <v>6729.333333333333</v>
          </cell>
          <cell r="Y21">
            <v>6475</v>
          </cell>
          <cell r="Z21">
            <v>145</v>
          </cell>
          <cell r="AA21">
            <v>96</v>
          </cell>
          <cell r="AB21">
            <v>120</v>
          </cell>
          <cell r="AC21">
            <v>176</v>
          </cell>
          <cell r="AD21">
            <v>247</v>
          </cell>
          <cell r="AE21">
            <v>376</v>
          </cell>
          <cell r="AF21">
            <v>369</v>
          </cell>
          <cell r="AG21">
            <v>120.33333333333333</v>
          </cell>
          <cell r="AH21">
            <v>130.66666666666666</v>
          </cell>
          <cell r="AI21">
            <v>181</v>
          </cell>
          <cell r="AJ21">
            <v>266.33333333333331</v>
          </cell>
          <cell r="AK21">
            <v>330.66666666666669</v>
          </cell>
          <cell r="AL21">
            <v>26</v>
          </cell>
          <cell r="AM21">
            <v>6.9148936170212769E-2</v>
          </cell>
          <cell r="AN21">
            <v>43.17841849842992</v>
          </cell>
          <cell r="AO21">
            <v>43.242008062248054</v>
          </cell>
          <cell r="AP21">
            <v>45.092433039895113</v>
          </cell>
          <cell r="AQ21">
            <v>48.270110957004164</v>
          </cell>
          <cell r="AR21">
            <v>51.803191763191769</v>
          </cell>
          <cell r="AS21" t="str">
            <v/>
          </cell>
          <cell r="AV21">
            <v>51.803191763191769</v>
          </cell>
        </row>
        <row r="22">
          <cell r="A22" t="str">
            <v>Gastroenterology: Hepatology</v>
          </cell>
          <cell r="B22">
            <v>284385</v>
          </cell>
          <cell r="C22">
            <v>324456</v>
          </cell>
          <cell r="D22">
            <v>327159</v>
          </cell>
          <cell r="E22">
            <v>536913</v>
          </cell>
          <cell r="F22">
            <v>323103</v>
          </cell>
          <cell r="G22">
            <v>332900</v>
          </cell>
          <cell r="H22">
            <v>341974</v>
          </cell>
          <cell r="I22">
            <v>312000</v>
          </cell>
          <cell r="J22">
            <v>396176</v>
          </cell>
          <cell r="K22">
            <v>395725</v>
          </cell>
          <cell r="L22">
            <v>397638.66666666669</v>
          </cell>
          <cell r="M22">
            <v>332659</v>
          </cell>
          <cell r="N22">
            <v>4756</v>
          </cell>
          <cell r="O22">
            <v>6894</v>
          </cell>
          <cell r="P22">
            <v>5433</v>
          </cell>
          <cell r="Q22">
            <v>5075</v>
          </cell>
          <cell r="R22">
            <v>6200</v>
          </cell>
          <cell r="S22">
            <v>5784</v>
          </cell>
          <cell r="T22">
            <v>5585</v>
          </cell>
          <cell r="U22">
            <v>5694.333333333333</v>
          </cell>
          <cell r="V22">
            <v>5800.666666666667</v>
          </cell>
          <cell r="W22">
            <v>5569.333333333333</v>
          </cell>
          <cell r="X22">
            <v>5686.333333333333</v>
          </cell>
          <cell r="Y22">
            <v>5856.333333333333</v>
          </cell>
          <cell r="Z22">
            <v>26</v>
          </cell>
          <cell r="AA22">
            <v>19</v>
          </cell>
          <cell r="AB22">
            <v>13</v>
          </cell>
          <cell r="AC22">
            <v>28</v>
          </cell>
          <cell r="AD22">
            <v>28</v>
          </cell>
          <cell r="AE22">
            <v>66</v>
          </cell>
          <cell r="AF22">
            <v>63</v>
          </cell>
          <cell r="AG22">
            <v>19.333333333333332</v>
          </cell>
          <cell r="AH22">
            <v>20</v>
          </cell>
          <cell r="AI22">
            <v>23</v>
          </cell>
          <cell r="AJ22">
            <v>40.666666666666664</v>
          </cell>
          <cell r="AK22">
            <v>52.333333333333336</v>
          </cell>
          <cell r="AL22">
            <v>4</v>
          </cell>
          <cell r="AM22">
            <v>6.0606060606060608E-2</v>
          </cell>
          <cell r="AN22">
            <v>54.791313001229298</v>
          </cell>
          <cell r="AO22">
            <v>68.29835651074589</v>
          </cell>
          <cell r="AP22">
            <v>71.054285372276752</v>
          </cell>
          <cell r="AQ22">
            <v>69.92883521894602</v>
          </cell>
          <cell r="AR22">
            <v>56.803289885593948</v>
          </cell>
          <cell r="AS22" t="str">
            <v/>
          </cell>
          <cell r="AV22">
            <v>56.803289885593948</v>
          </cell>
        </row>
        <row r="23">
          <cell r="A23" t="str">
            <v>Genetics</v>
          </cell>
          <cell r="B23">
            <v>184313</v>
          </cell>
          <cell r="C23" t="str">
            <v>*</v>
          </cell>
          <cell r="D23">
            <v>170464</v>
          </cell>
          <cell r="E23">
            <v>258000</v>
          </cell>
          <cell r="F23">
            <v>185000</v>
          </cell>
          <cell r="G23">
            <v>182672</v>
          </cell>
          <cell r="H23">
            <v>199314</v>
          </cell>
          <cell r="I23">
            <v>177388.5</v>
          </cell>
          <cell r="J23">
            <v>214232</v>
          </cell>
          <cell r="K23">
            <v>204488</v>
          </cell>
          <cell r="L23">
            <v>208557.33333333334</v>
          </cell>
          <cell r="M23">
            <v>188995.33333333334</v>
          </cell>
          <cell r="N23" t="str">
            <v>*</v>
          </cell>
          <cell r="O23" t="str">
            <v>*</v>
          </cell>
          <cell r="P23" t="str">
            <v>*</v>
          </cell>
          <cell r="Q23" t="str">
            <v>*</v>
          </cell>
          <cell r="R23" t="str">
            <v>*</v>
          </cell>
          <cell r="S23">
            <v>2640</v>
          </cell>
          <cell r="T23">
            <v>2132</v>
          </cell>
          <cell r="U23" t="str">
            <v>*</v>
          </cell>
          <cell r="V23" t="str">
            <v>*</v>
          </cell>
          <cell r="W23" t="str">
            <v>*</v>
          </cell>
          <cell r="X23">
            <v>2640</v>
          </cell>
          <cell r="Y23">
            <v>2386</v>
          </cell>
          <cell r="Z23">
            <v>4</v>
          </cell>
          <cell r="AA23">
            <v>0</v>
          </cell>
          <cell r="AB23">
            <v>3</v>
          </cell>
          <cell r="AC23">
            <v>2</v>
          </cell>
          <cell r="AD23">
            <v>7</v>
          </cell>
          <cell r="AE23">
            <v>17</v>
          </cell>
          <cell r="AF23">
            <v>16</v>
          </cell>
          <cell r="AG23">
            <v>2.3333333333333335</v>
          </cell>
          <cell r="AH23">
            <v>1.6666666666666667</v>
          </cell>
          <cell r="AI23">
            <v>4</v>
          </cell>
          <cell r="AJ23">
            <v>8.6666666666666661</v>
          </cell>
          <cell r="AK23">
            <v>13.333333333333334</v>
          </cell>
          <cell r="AL23">
            <v>0</v>
          </cell>
          <cell r="AM23">
            <v>0</v>
          </cell>
          <cell r="AN23" t="str">
            <v>*</v>
          </cell>
          <cell r="AO23" t="str">
            <v>*</v>
          </cell>
          <cell r="AP23" t="str">
            <v>*</v>
          </cell>
          <cell r="AQ23">
            <v>78.998989898989905</v>
          </cell>
          <cell r="AR23">
            <v>79.210114557138866</v>
          </cell>
          <cell r="AS23" t="str">
            <v>Low N</v>
          </cell>
          <cell r="AT23" t="str">
            <v>Internal Medicine: General</v>
          </cell>
          <cell r="AU23">
            <v>54.62652265713821</v>
          </cell>
          <cell r="AV23">
            <v>54.62652265713821</v>
          </cell>
        </row>
        <row r="24">
          <cell r="A24" t="str">
            <v>Geriatrics</v>
          </cell>
          <cell r="B24">
            <v>184400</v>
          </cell>
          <cell r="C24">
            <v>173814</v>
          </cell>
          <cell r="D24">
            <v>181932</v>
          </cell>
          <cell r="E24">
            <v>196651</v>
          </cell>
          <cell r="F24">
            <v>191885</v>
          </cell>
          <cell r="G24">
            <v>205626</v>
          </cell>
          <cell r="H24">
            <v>205488</v>
          </cell>
          <cell r="I24">
            <v>180048.66666666666</v>
          </cell>
          <cell r="J24">
            <v>184132.33333333334</v>
          </cell>
          <cell r="K24">
            <v>190156</v>
          </cell>
          <cell r="L24">
            <v>198054</v>
          </cell>
          <cell r="M24">
            <v>200999.66666666666</v>
          </cell>
          <cell r="N24">
            <v>3707</v>
          </cell>
          <cell r="O24">
            <v>4239</v>
          </cell>
          <cell r="P24">
            <v>4584</v>
          </cell>
          <cell r="Q24">
            <v>4226</v>
          </cell>
          <cell r="R24">
            <v>3553</v>
          </cell>
          <cell r="S24">
            <v>3269</v>
          </cell>
          <cell r="T24">
            <v>2953</v>
          </cell>
          <cell r="U24">
            <v>4176.666666666667</v>
          </cell>
          <cell r="V24">
            <v>4349.666666666667</v>
          </cell>
          <cell r="W24">
            <v>4121</v>
          </cell>
          <cell r="X24">
            <v>3682.6666666666665</v>
          </cell>
          <cell r="Y24">
            <v>3258.3333333333335</v>
          </cell>
          <cell r="Z24">
            <v>39</v>
          </cell>
          <cell r="AA24">
            <v>46</v>
          </cell>
          <cell r="AB24">
            <v>35</v>
          </cell>
          <cell r="AC24">
            <v>33</v>
          </cell>
          <cell r="AD24">
            <v>59</v>
          </cell>
          <cell r="AE24">
            <v>87</v>
          </cell>
          <cell r="AF24">
            <v>90</v>
          </cell>
          <cell r="AG24">
            <v>40</v>
          </cell>
          <cell r="AH24">
            <v>38</v>
          </cell>
          <cell r="AI24">
            <v>42.333333333333336</v>
          </cell>
          <cell r="AJ24">
            <v>59.666666666666664</v>
          </cell>
          <cell r="AK24">
            <v>78.666666666666671</v>
          </cell>
          <cell r="AL24">
            <v>12</v>
          </cell>
          <cell r="AM24">
            <v>0.13793103448275862</v>
          </cell>
          <cell r="AN24">
            <v>43.108220271348756</v>
          </cell>
          <cell r="AO24">
            <v>42.332515901601653</v>
          </cell>
          <cell r="AP24">
            <v>46.143169133705413</v>
          </cell>
          <cell r="AQ24">
            <v>53.780050687907313</v>
          </cell>
          <cell r="AR24">
            <v>61.687877237851659</v>
          </cell>
          <cell r="AS24" t="str">
            <v/>
          </cell>
          <cell r="AV24">
            <v>61.687877237851659</v>
          </cell>
        </row>
        <row r="25">
          <cell r="A25" t="str">
            <v>Hematology/Oncology</v>
          </cell>
          <cell r="B25">
            <v>258845</v>
          </cell>
          <cell r="C25">
            <v>267326</v>
          </cell>
          <cell r="D25">
            <v>290111</v>
          </cell>
          <cell r="E25">
            <v>320905</v>
          </cell>
          <cell r="F25">
            <v>291600</v>
          </cell>
          <cell r="G25">
            <v>296846</v>
          </cell>
          <cell r="H25">
            <v>305576</v>
          </cell>
          <cell r="I25">
            <v>272094</v>
          </cell>
          <cell r="J25">
            <v>292780.66666666669</v>
          </cell>
          <cell r="K25">
            <v>300872</v>
          </cell>
          <cell r="L25">
            <v>303117</v>
          </cell>
          <cell r="M25">
            <v>298007.33333333331</v>
          </cell>
          <cell r="N25">
            <v>5292</v>
          </cell>
          <cell r="O25">
            <v>4889</v>
          </cell>
          <cell r="P25">
            <v>5771</v>
          </cell>
          <cell r="Q25">
            <v>5060</v>
          </cell>
          <cell r="R25">
            <v>4486</v>
          </cell>
          <cell r="S25">
            <v>4556</v>
          </cell>
          <cell r="T25">
            <v>4303</v>
          </cell>
          <cell r="U25">
            <v>5317.333333333333</v>
          </cell>
          <cell r="V25">
            <v>5240</v>
          </cell>
          <cell r="W25">
            <v>5105.666666666667</v>
          </cell>
          <cell r="X25">
            <v>4700.666666666667</v>
          </cell>
          <cell r="Y25">
            <v>4448.333333333333</v>
          </cell>
          <cell r="Z25">
            <v>145</v>
          </cell>
          <cell r="AA25">
            <v>132</v>
          </cell>
          <cell r="AB25">
            <v>140</v>
          </cell>
          <cell r="AC25">
            <v>229</v>
          </cell>
          <cell r="AD25">
            <v>289</v>
          </cell>
          <cell r="AE25">
            <v>435</v>
          </cell>
          <cell r="AF25">
            <v>386</v>
          </cell>
          <cell r="AG25">
            <v>139</v>
          </cell>
          <cell r="AH25">
            <v>167</v>
          </cell>
          <cell r="AI25">
            <v>219.33333333333334</v>
          </cell>
          <cell r="AJ25">
            <v>317.66666666666669</v>
          </cell>
          <cell r="AK25">
            <v>370</v>
          </cell>
          <cell r="AL25">
            <v>7</v>
          </cell>
          <cell r="AM25">
            <v>1.6091954022988506E-2</v>
          </cell>
          <cell r="AN25">
            <v>51.171138415245743</v>
          </cell>
          <cell r="AO25">
            <v>55.874173027989826</v>
          </cell>
          <cell r="AP25">
            <v>58.929033100476595</v>
          </cell>
          <cell r="AQ25">
            <v>64.483832080555942</v>
          </cell>
          <cell r="AR25">
            <v>66.993031097789441</v>
          </cell>
          <cell r="AS25" t="str">
            <v/>
          </cell>
          <cell r="AV25">
            <v>66.993031097789441</v>
          </cell>
        </row>
        <row r="26">
          <cell r="A26" t="str">
            <v>Hematology/Oncology: Oncology (Only)</v>
          </cell>
          <cell r="B26">
            <v>261539</v>
          </cell>
          <cell r="C26">
            <v>236790</v>
          </cell>
          <cell r="D26">
            <v>239368</v>
          </cell>
          <cell r="E26">
            <v>254950</v>
          </cell>
          <cell r="F26">
            <v>258623</v>
          </cell>
          <cell r="G26">
            <v>279936</v>
          </cell>
          <cell r="H26">
            <v>279336</v>
          </cell>
          <cell r="I26">
            <v>245899</v>
          </cell>
          <cell r="J26">
            <v>243702.66666666666</v>
          </cell>
          <cell r="K26">
            <v>250980.33333333334</v>
          </cell>
          <cell r="L26">
            <v>264503</v>
          </cell>
          <cell r="M26">
            <v>272631.66666666669</v>
          </cell>
          <cell r="N26">
            <v>5028</v>
          </cell>
          <cell r="O26">
            <v>4515</v>
          </cell>
          <cell r="P26">
            <v>5188</v>
          </cell>
          <cell r="Q26">
            <v>4839</v>
          </cell>
          <cell r="R26">
            <v>4268</v>
          </cell>
          <cell r="S26">
            <v>4543</v>
          </cell>
          <cell r="T26">
            <v>4973</v>
          </cell>
          <cell r="U26">
            <v>4910.333333333333</v>
          </cell>
          <cell r="V26">
            <v>4847.333333333333</v>
          </cell>
          <cell r="W26">
            <v>4765</v>
          </cell>
          <cell r="X26">
            <v>4550</v>
          </cell>
          <cell r="Y26">
            <v>4594.666666666667</v>
          </cell>
          <cell r="Z26">
            <v>68</v>
          </cell>
          <cell r="AA26">
            <v>27</v>
          </cell>
          <cell r="AB26">
            <v>37</v>
          </cell>
          <cell r="AC26">
            <v>31</v>
          </cell>
          <cell r="AD26">
            <v>91</v>
          </cell>
          <cell r="AE26">
            <v>147</v>
          </cell>
          <cell r="AF26">
            <v>184</v>
          </cell>
          <cell r="AG26">
            <v>44</v>
          </cell>
          <cell r="AH26">
            <v>31.666666666666668</v>
          </cell>
          <cell r="AI26">
            <v>53</v>
          </cell>
          <cell r="AJ26">
            <v>89.666666666666671</v>
          </cell>
          <cell r="AK26">
            <v>140.66666666666666</v>
          </cell>
          <cell r="AL26">
            <v>45</v>
          </cell>
          <cell r="AM26">
            <v>0.30612244897959184</v>
          </cell>
          <cell r="AN26">
            <v>50.077863009978962</v>
          </cell>
          <cell r="AO26">
            <v>50.275615458671439</v>
          </cell>
          <cell r="AP26">
            <v>52.671633438265133</v>
          </cell>
          <cell r="AQ26">
            <v>58.132527472527471</v>
          </cell>
          <cell r="AR26">
            <v>59.336549622751015</v>
          </cell>
          <cell r="AS26" t="str">
            <v/>
          </cell>
          <cell r="AV26">
            <v>59.336549622751015</v>
          </cell>
        </row>
        <row r="27">
          <cell r="A27" t="str">
            <v>Hospice/Palliative Care</v>
          </cell>
          <cell r="B27" t="str">
            <v>*</v>
          </cell>
          <cell r="C27">
            <v>161150</v>
          </cell>
          <cell r="D27">
            <v>197418</v>
          </cell>
          <cell r="E27">
            <v>190533</v>
          </cell>
          <cell r="F27">
            <v>199718</v>
          </cell>
          <cell r="G27">
            <v>208976</v>
          </cell>
          <cell r="H27">
            <v>216507</v>
          </cell>
          <cell r="I27">
            <v>179284</v>
          </cell>
          <cell r="J27">
            <v>183033.66666666666</v>
          </cell>
          <cell r="K27">
            <v>195889.66666666666</v>
          </cell>
          <cell r="L27">
            <v>199742.33333333334</v>
          </cell>
          <cell r="M27">
            <v>208400.33333333334</v>
          </cell>
          <cell r="N27" t="str">
            <v>*</v>
          </cell>
          <cell r="O27">
            <v>2551</v>
          </cell>
          <cell r="P27" t="str">
            <v>*</v>
          </cell>
          <cell r="Q27">
            <v>3166</v>
          </cell>
          <cell r="R27">
            <v>2196</v>
          </cell>
          <cell r="S27">
            <v>2335</v>
          </cell>
          <cell r="T27">
            <v>2371</v>
          </cell>
          <cell r="U27">
            <v>2551</v>
          </cell>
          <cell r="V27">
            <v>2858.5</v>
          </cell>
          <cell r="W27">
            <v>2681</v>
          </cell>
          <cell r="X27">
            <v>2565.6666666666665</v>
          </cell>
          <cell r="Y27">
            <v>2300.6666666666665</v>
          </cell>
          <cell r="Z27">
            <v>9</v>
          </cell>
          <cell r="AA27">
            <v>15</v>
          </cell>
          <cell r="AB27">
            <v>7</v>
          </cell>
          <cell r="AC27">
            <v>10</v>
          </cell>
          <cell r="AD27">
            <v>31</v>
          </cell>
          <cell r="AE27">
            <v>67</v>
          </cell>
          <cell r="AF27">
            <v>86</v>
          </cell>
          <cell r="AG27">
            <v>10.333333333333334</v>
          </cell>
          <cell r="AH27">
            <v>10.666666666666666</v>
          </cell>
          <cell r="AI27">
            <v>16</v>
          </cell>
          <cell r="AJ27">
            <v>36</v>
          </cell>
          <cell r="AK27">
            <v>61.333333333333336</v>
          </cell>
          <cell r="AL27">
            <v>0</v>
          </cell>
          <cell r="AM27">
            <v>0</v>
          </cell>
          <cell r="AN27">
            <v>70.279890239121912</v>
          </cell>
          <cell r="AO27">
            <v>64.031368433327501</v>
          </cell>
          <cell r="AP27">
            <v>73.065895810021132</v>
          </cell>
          <cell r="AQ27">
            <v>77.852020267636746</v>
          </cell>
          <cell r="AR27">
            <v>90.582584758041165</v>
          </cell>
          <cell r="AS27" t="str">
            <v/>
          </cell>
          <cell r="AV27">
            <v>90.582584758041165</v>
          </cell>
        </row>
        <row r="28">
          <cell r="A28" t="str">
            <v>Hospitalist: Family Medicine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>
            <v>240400</v>
          </cell>
          <cell r="G28">
            <v>238186</v>
          </cell>
          <cell r="H28">
            <v>252155</v>
          </cell>
          <cell r="I28" t="str">
            <v>*</v>
          </cell>
          <cell r="J28" t="str">
            <v>*</v>
          </cell>
          <cell r="K28">
            <v>240400</v>
          </cell>
          <cell r="L28">
            <v>239293</v>
          </cell>
          <cell r="M28">
            <v>243580.33333333334</v>
          </cell>
          <cell r="N28" t="str">
            <v>*</v>
          </cell>
          <cell r="O28" t="str">
            <v>*</v>
          </cell>
          <cell r="P28" t="str">
            <v>*</v>
          </cell>
          <cell r="Q28" t="str">
            <v>*</v>
          </cell>
          <cell r="R28">
            <v>3373</v>
          </cell>
          <cell r="S28">
            <v>4443</v>
          </cell>
          <cell r="T28">
            <v>4365</v>
          </cell>
          <cell r="U28" t="str">
            <v>*</v>
          </cell>
          <cell r="V28" t="str">
            <v>*</v>
          </cell>
          <cell r="W28">
            <v>3373</v>
          </cell>
          <cell r="X28">
            <v>3908</v>
          </cell>
          <cell r="Y28">
            <v>4060.3333333333335</v>
          </cell>
          <cell r="Z28" t="str">
            <v>*</v>
          </cell>
          <cell r="AA28" t="str">
            <v>*</v>
          </cell>
          <cell r="AB28" t="str">
            <v>*</v>
          </cell>
          <cell r="AC28" t="str">
            <v>*</v>
          </cell>
          <cell r="AD28">
            <v>17</v>
          </cell>
          <cell r="AE28">
            <v>27</v>
          </cell>
          <cell r="AF28">
            <v>14</v>
          </cell>
          <cell r="AG28" t="str">
            <v>*</v>
          </cell>
          <cell r="AH28" t="str">
            <v>*</v>
          </cell>
          <cell r="AI28">
            <v>17</v>
          </cell>
          <cell r="AJ28">
            <v>22</v>
          </cell>
          <cell r="AK28">
            <v>19.333333333333332</v>
          </cell>
          <cell r="AL28">
            <v>0</v>
          </cell>
          <cell r="AM28">
            <v>0</v>
          </cell>
          <cell r="AN28" t="str">
            <v>*</v>
          </cell>
          <cell r="AO28" t="str">
            <v>*</v>
          </cell>
          <cell r="AP28">
            <v>71.271864808775575</v>
          </cell>
          <cell r="AQ28">
            <v>61.231576253838277</v>
          </cell>
          <cell r="AR28">
            <v>59.9902306871357</v>
          </cell>
          <cell r="AS28" t="str">
            <v/>
          </cell>
          <cell r="AV28">
            <v>59.9902306871357</v>
          </cell>
        </row>
        <row r="29">
          <cell r="A29" t="str">
            <v>Hospitalist: Internal Medicine</v>
          </cell>
          <cell r="B29">
            <v>200000</v>
          </cell>
          <cell r="C29">
            <v>209286</v>
          </cell>
          <cell r="D29">
            <v>214417</v>
          </cell>
          <cell r="E29">
            <v>226245</v>
          </cell>
          <cell r="F29">
            <v>228204</v>
          </cell>
          <cell r="G29">
            <v>237289</v>
          </cell>
          <cell r="H29">
            <v>247468</v>
          </cell>
          <cell r="I29">
            <v>207901</v>
          </cell>
          <cell r="J29">
            <v>216649.33333333334</v>
          </cell>
          <cell r="K29">
            <v>222955.33333333334</v>
          </cell>
          <cell r="L29">
            <v>230579.33333333334</v>
          </cell>
          <cell r="M29">
            <v>237653.66666666666</v>
          </cell>
          <cell r="N29">
            <v>3591</v>
          </cell>
          <cell r="O29">
            <v>4406</v>
          </cell>
          <cell r="P29">
            <v>3755</v>
          </cell>
          <cell r="Q29">
            <v>3527</v>
          </cell>
          <cell r="R29">
            <v>3547</v>
          </cell>
          <cell r="S29">
            <v>3659</v>
          </cell>
          <cell r="T29">
            <v>3476</v>
          </cell>
          <cell r="U29">
            <v>3917.3333333333335</v>
          </cell>
          <cell r="V29">
            <v>3896</v>
          </cell>
          <cell r="W29">
            <v>3609.6666666666665</v>
          </cell>
          <cell r="X29">
            <v>3577.6666666666665</v>
          </cell>
          <cell r="Y29">
            <v>3560.6666666666665</v>
          </cell>
          <cell r="Z29">
            <v>188</v>
          </cell>
          <cell r="AA29">
            <v>157</v>
          </cell>
          <cell r="AB29">
            <v>178</v>
          </cell>
          <cell r="AC29">
            <v>375</v>
          </cell>
          <cell r="AD29">
            <v>476</v>
          </cell>
          <cell r="AE29">
            <v>968</v>
          </cell>
          <cell r="AF29">
            <v>1023</v>
          </cell>
          <cell r="AG29">
            <v>174.33333333333334</v>
          </cell>
          <cell r="AH29">
            <v>236.66666666666666</v>
          </cell>
          <cell r="AI29">
            <v>343</v>
          </cell>
          <cell r="AJ29">
            <v>606.33333333333337</v>
          </cell>
          <cell r="AK29">
            <v>822.33333333333337</v>
          </cell>
          <cell r="AL29">
            <v>41</v>
          </cell>
          <cell r="AM29">
            <v>4.2355371900826444E-2</v>
          </cell>
          <cell r="AN29">
            <v>53.072072838665754</v>
          </cell>
          <cell r="AO29">
            <v>55.608145106091719</v>
          </cell>
          <cell r="AP29">
            <v>61.766183396435501</v>
          </cell>
          <cell r="AQ29">
            <v>64.449641293207875</v>
          </cell>
          <cell r="AR29">
            <v>66.744149035761097</v>
          </cell>
          <cell r="AS29" t="str">
            <v/>
          </cell>
          <cell r="AV29">
            <v>66.744149035761097</v>
          </cell>
        </row>
        <row r="30">
          <cell r="A30" t="str">
            <v>Hospitalist: OB/GYN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*</v>
          </cell>
          <cell r="O30" t="str">
            <v>*</v>
          </cell>
          <cell r="P30" t="str">
            <v>*</v>
          </cell>
          <cell r="Q30" t="str">
            <v>*</v>
          </cell>
          <cell r="R30" t="str">
            <v>*</v>
          </cell>
          <cell r="S30" t="str">
            <v>*</v>
          </cell>
          <cell r="T30" t="str">
            <v>*</v>
          </cell>
          <cell r="U30" t="str">
            <v>*</v>
          </cell>
          <cell r="V30" t="str">
            <v>*</v>
          </cell>
          <cell r="W30" t="str">
            <v>*</v>
          </cell>
          <cell r="X30" t="str">
            <v>*</v>
          </cell>
          <cell r="Y30" t="str">
            <v>*</v>
          </cell>
          <cell r="Z30" t="str">
            <v>*</v>
          </cell>
          <cell r="AA30" t="str">
            <v>*</v>
          </cell>
          <cell r="AB30" t="str">
            <v>*</v>
          </cell>
          <cell r="AC30" t="str">
            <v>*</v>
          </cell>
          <cell r="AD30" t="str">
            <v>*</v>
          </cell>
          <cell r="AE30">
            <v>7</v>
          </cell>
          <cell r="AF30">
            <v>5</v>
          </cell>
          <cell r="AG30" t="str">
            <v>*</v>
          </cell>
          <cell r="AH30" t="str">
            <v>*</v>
          </cell>
          <cell r="AI30" t="str">
            <v>*</v>
          </cell>
          <cell r="AJ30">
            <v>7</v>
          </cell>
          <cell r="AK30">
            <v>6</v>
          </cell>
          <cell r="AL30">
            <v>0</v>
          </cell>
          <cell r="AM30">
            <v>0</v>
          </cell>
          <cell r="AN30" t="str">
            <v>*</v>
          </cell>
          <cell r="AO30" t="str">
            <v>*</v>
          </cell>
          <cell r="AP30" t="str">
            <v>*</v>
          </cell>
          <cell r="AQ30" t="str">
            <v>*</v>
          </cell>
          <cell r="AR30" t="str">
            <v>*</v>
          </cell>
          <cell r="AS30" t="str">
            <v>Low N</v>
          </cell>
          <cell r="AT30" t="str">
            <v>Hospitalist: Internal Medicine</v>
          </cell>
          <cell r="AU30">
            <v>66.744149035761097</v>
          </cell>
          <cell r="AV30">
            <v>66.744149035761097</v>
          </cell>
        </row>
        <row r="31">
          <cell r="A31" t="str">
            <v>Infectious Disease</v>
          </cell>
          <cell r="B31">
            <v>180338</v>
          </cell>
          <cell r="C31">
            <v>183420</v>
          </cell>
          <cell r="D31">
            <v>175267</v>
          </cell>
          <cell r="E31">
            <v>194601</v>
          </cell>
          <cell r="F31">
            <v>189932</v>
          </cell>
          <cell r="G31">
            <v>194632</v>
          </cell>
          <cell r="H31">
            <v>198784</v>
          </cell>
          <cell r="I31">
            <v>179675</v>
          </cell>
          <cell r="J31">
            <v>184429.33333333334</v>
          </cell>
          <cell r="K31">
            <v>186600</v>
          </cell>
          <cell r="L31">
            <v>193055</v>
          </cell>
          <cell r="M31">
            <v>194449.33333333334</v>
          </cell>
          <cell r="N31">
            <v>3822</v>
          </cell>
          <cell r="O31">
            <v>4567</v>
          </cell>
          <cell r="P31">
            <v>3777</v>
          </cell>
          <cell r="Q31">
            <v>3264</v>
          </cell>
          <cell r="R31">
            <v>3599</v>
          </cell>
          <cell r="S31">
            <v>3745</v>
          </cell>
          <cell r="T31">
            <v>3476</v>
          </cell>
          <cell r="U31">
            <v>4055.3333333333335</v>
          </cell>
          <cell r="V31">
            <v>3869.3333333333335</v>
          </cell>
          <cell r="W31">
            <v>3546.6666666666665</v>
          </cell>
          <cell r="X31">
            <v>3536</v>
          </cell>
          <cell r="Y31">
            <v>3606.6666666666665</v>
          </cell>
          <cell r="Z31">
            <v>73</v>
          </cell>
          <cell r="AA31">
            <v>60</v>
          </cell>
          <cell r="AB31">
            <v>79</v>
          </cell>
          <cell r="AC31">
            <v>94</v>
          </cell>
          <cell r="AD31">
            <v>132</v>
          </cell>
          <cell r="AE31">
            <v>167</v>
          </cell>
          <cell r="AF31">
            <v>196</v>
          </cell>
          <cell r="AG31">
            <v>70.666666666666671</v>
          </cell>
          <cell r="AH31">
            <v>77.666666666666671</v>
          </cell>
          <cell r="AI31">
            <v>101.66666666666667</v>
          </cell>
          <cell r="AJ31">
            <v>131</v>
          </cell>
          <cell r="AK31">
            <v>165</v>
          </cell>
          <cell r="AL31">
            <v>33</v>
          </cell>
          <cell r="AM31">
            <v>0.19760479041916168</v>
          </cell>
          <cell r="AN31">
            <v>44.305852375472625</v>
          </cell>
          <cell r="AO31">
            <v>47.664369400413506</v>
          </cell>
          <cell r="AP31">
            <v>52.612781954887218</v>
          </cell>
          <cell r="AQ31">
            <v>54.597002262443439</v>
          </cell>
          <cell r="AR31">
            <v>53.913863216266179</v>
          </cell>
          <cell r="AS31" t="str">
            <v/>
          </cell>
          <cell r="AV31">
            <v>53.913863216266179</v>
          </cell>
        </row>
        <row r="32">
          <cell r="A32" t="str">
            <v>Internal Medicine: Ambulatory Only (No Inpatient Work)</v>
          </cell>
          <cell r="B32" t="str">
            <v>*</v>
          </cell>
          <cell r="C32" t="str">
            <v>*</v>
          </cell>
          <cell r="D32">
            <v>204800</v>
          </cell>
          <cell r="E32">
            <v>184725</v>
          </cell>
          <cell r="F32">
            <v>246831</v>
          </cell>
          <cell r="G32">
            <v>258155</v>
          </cell>
          <cell r="H32">
            <v>262897</v>
          </cell>
          <cell r="I32">
            <v>204800</v>
          </cell>
          <cell r="J32">
            <v>194762.5</v>
          </cell>
          <cell r="K32">
            <v>212118.66666666666</v>
          </cell>
          <cell r="L32">
            <v>229903.66666666666</v>
          </cell>
          <cell r="M32">
            <v>255961</v>
          </cell>
          <cell r="N32" t="str">
            <v>*</v>
          </cell>
          <cell r="O32" t="str">
            <v>*</v>
          </cell>
          <cell r="P32">
            <v>4621</v>
          </cell>
          <cell r="Q32">
            <v>3983</v>
          </cell>
          <cell r="R32">
            <v>5009</v>
          </cell>
          <cell r="S32">
            <v>5575</v>
          </cell>
          <cell r="T32">
            <v>4494</v>
          </cell>
          <cell r="U32">
            <v>4621</v>
          </cell>
          <cell r="V32">
            <v>4302</v>
          </cell>
          <cell r="W32">
            <v>4537.666666666667</v>
          </cell>
          <cell r="X32">
            <v>4855.666666666667</v>
          </cell>
          <cell r="Y32">
            <v>5026</v>
          </cell>
          <cell r="Z32" t="str">
            <v>*</v>
          </cell>
          <cell r="AA32">
            <v>1</v>
          </cell>
          <cell r="AB32">
            <v>26</v>
          </cell>
          <cell r="AC32">
            <v>20</v>
          </cell>
          <cell r="AD32">
            <v>55</v>
          </cell>
          <cell r="AE32">
            <v>63</v>
          </cell>
          <cell r="AF32">
            <v>16</v>
          </cell>
          <cell r="AG32">
            <v>13.5</v>
          </cell>
          <cell r="AH32">
            <v>15.666666666666666</v>
          </cell>
          <cell r="AI32">
            <v>33.666666666666664</v>
          </cell>
          <cell r="AJ32">
            <v>46</v>
          </cell>
          <cell r="AK32">
            <v>44.666666666666664</v>
          </cell>
          <cell r="AL32">
            <v>0</v>
          </cell>
          <cell r="AM32">
            <v>0</v>
          </cell>
          <cell r="AN32">
            <v>44.31941138281757</v>
          </cell>
          <cell r="AO32">
            <v>45.272547652254765</v>
          </cell>
          <cell r="AP32">
            <v>46.74619848674061</v>
          </cell>
          <cell r="AQ32">
            <v>47.34749776892977</v>
          </cell>
          <cell r="AR32">
            <v>50.927377636291283</v>
          </cell>
          <cell r="AS32" t="str">
            <v/>
          </cell>
          <cell r="AV32">
            <v>50.927377636291283</v>
          </cell>
        </row>
        <row r="33">
          <cell r="A33" t="str">
            <v>Internal Medicine: General</v>
          </cell>
          <cell r="B33">
            <v>193530</v>
          </cell>
          <cell r="C33">
            <v>191372</v>
          </cell>
          <cell r="D33">
            <v>202024</v>
          </cell>
          <cell r="E33">
            <v>228260</v>
          </cell>
          <cell r="F33">
            <v>216366</v>
          </cell>
          <cell r="G33">
            <v>225181</v>
          </cell>
          <cell r="H33">
            <v>231124</v>
          </cell>
          <cell r="I33">
            <v>195642</v>
          </cell>
          <cell r="J33">
            <v>207218.66666666666</v>
          </cell>
          <cell r="K33">
            <v>215550</v>
          </cell>
          <cell r="L33">
            <v>223269</v>
          </cell>
          <cell r="M33">
            <v>224223.66666666666</v>
          </cell>
          <cell r="N33">
            <v>3822</v>
          </cell>
          <cell r="O33">
            <v>3959</v>
          </cell>
          <cell r="P33">
            <v>4149</v>
          </cell>
          <cell r="Q33">
            <v>4119</v>
          </cell>
          <cell r="R33">
            <v>4084</v>
          </cell>
          <cell r="S33">
            <v>4171</v>
          </cell>
          <cell r="T33">
            <v>4059</v>
          </cell>
          <cell r="U33">
            <v>3976.6666666666665</v>
          </cell>
          <cell r="V33">
            <v>4075.6666666666665</v>
          </cell>
          <cell r="W33">
            <v>4117.333333333333</v>
          </cell>
          <cell r="X33">
            <v>4124.666666666667</v>
          </cell>
          <cell r="Y33">
            <v>4104.666666666667</v>
          </cell>
          <cell r="Z33">
            <v>440</v>
          </cell>
          <cell r="AA33">
            <v>228</v>
          </cell>
          <cell r="AB33">
            <v>264</v>
          </cell>
          <cell r="AC33">
            <v>350</v>
          </cell>
          <cell r="AD33">
            <v>496</v>
          </cell>
          <cell r="AE33">
            <v>675</v>
          </cell>
          <cell r="AF33">
            <v>841</v>
          </cell>
          <cell r="AG33">
            <v>310.66666666666669</v>
          </cell>
          <cell r="AH33">
            <v>280.66666666666669</v>
          </cell>
          <cell r="AI33">
            <v>370</v>
          </cell>
          <cell r="AJ33">
            <v>507</v>
          </cell>
          <cell r="AK33">
            <v>670.66666666666663</v>
          </cell>
          <cell r="AL33">
            <v>31</v>
          </cell>
          <cell r="AM33">
            <v>4.5925925925925926E-2</v>
          </cell>
          <cell r="AN33">
            <v>49.197485331098072</v>
          </cell>
          <cell r="AO33">
            <v>50.842888688967037</v>
          </cell>
          <cell r="AP33">
            <v>52.351845854922281</v>
          </cell>
          <cell r="AQ33">
            <v>54.130192338774847</v>
          </cell>
          <cell r="AR33">
            <v>54.62652265713821</v>
          </cell>
          <cell r="AS33" t="str">
            <v/>
          </cell>
          <cell r="AV33">
            <v>54.62652265713821</v>
          </cell>
        </row>
        <row r="34">
          <cell r="A34" t="str">
            <v>Nephrology</v>
          </cell>
          <cell r="B34">
            <v>210588</v>
          </cell>
          <cell r="C34">
            <v>220846</v>
          </cell>
          <cell r="D34">
            <v>220489</v>
          </cell>
          <cell r="E34">
            <v>244500</v>
          </cell>
          <cell r="F34">
            <v>233004</v>
          </cell>
          <cell r="G34">
            <v>249547</v>
          </cell>
          <cell r="H34">
            <v>250433</v>
          </cell>
          <cell r="I34">
            <v>217307.66666666666</v>
          </cell>
          <cell r="J34">
            <v>228611.66666666666</v>
          </cell>
          <cell r="K34">
            <v>232664.33333333334</v>
          </cell>
          <cell r="L34">
            <v>242350.33333333334</v>
          </cell>
          <cell r="M34">
            <v>244328</v>
          </cell>
          <cell r="N34">
            <v>6414</v>
          </cell>
          <cell r="O34">
            <v>6473</v>
          </cell>
          <cell r="P34">
            <v>7082</v>
          </cell>
          <cell r="Q34">
            <v>6190</v>
          </cell>
          <cell r="R34">
            <v>6299</v>
          </cell>
          <cell r="S34">
            <v>6356</v>
          </cell>
          <cell r="T34">
            <v>6083</v>
          </cell>
          <cell r="U34">
            <v>6656.333333333333</v>
          </cell>
          <cell r="V34">
            <v>6581.666666666667</v>
          </cell>
          <cell r="W34">
            <v>6523.666666666667</v>
          </cell>
          <cell r="X34">
            <v>6281.666666666667</v>
          </cell>
          <cell r="Y34">
            <v>6246</v>
          </cell>
          <cell r="Z34">
            <v>90</v>
          </cell>
          <cell r="AA34">
            <v>67</v>
          </cell>
          <cell r="AB34">
            <v>90</v>
          </cell>
          <cell r="AC34">
            <v>136</v>
          </cell>
          <cell r="AD34">
            <v>176</v>
          </cell>
          <cell r="AE34">
            <v>274</v>
          </cell>
          <cell r="AF34">
            <v>269</v>
          </cell>
          <cell r="AG34">
            <v>82.333333333333329</v>
          </cell>
          <cell r="AH34">
            <v>97.666666666666671</v>
          </cell>
          <cell r="AI34">
            <v>134</v>
          </cell>
          <cell r="AJ34">
            <v>195.33333333333334</v>
          </cell>
          <cell r="AK34">
            <v>239.66666666666666</v>
          </cell>
          <cell r="AL34">
            <v>25</v>
          </cell>
          <cell r="AM34">
            <v>9.1240875912408759E-2</v>
          </cell>
          <cell r="AN34">
            <v>32.646752466322802</v>
          </cell>
          <cell r="AO34">
            <v>34.734616358571785</v>
          </cell>
          <cell r="AP34">
            <v>35.664656890296868</v>
          </cell>
          <cell r="AQ34">
            <v>38.58057840275935</v>
          </cell>
          <cell r="AR34">
            <v>39.117515209734229</v>
          </cell>
          <cell r="AS34" t="str">
            <v/>
          </cell>
          <cell r="AV34">
            <v>39.117515209734229</v>
          </cell>
        </row>
        <row r="35">
          <cell r="A35" t="str">
            <v>Neurology</v>
          </cell>
          <cell r="B35">
            <v>197900</v>
          </cell>
          <cell r="C35">
            <v>193700</v>
          </cell>
          <cell r="D35">
            <v>205198</v>
          </cell>
          <cell r="E35">
            <v>244234</v>
          </cell>
          <cell r="F35">
            <v>228587</v>
          </cell>
          <cell r="G35">
            <v>231927</v>
          </cell>
          <cell r="H35">
            <v>236992</v>
          </cell>
          <cell r="I35">
            <v>198932.66666666666</v>
          </cell>
          <cell r="J35">
            <v>214377.33333333334</v>
          </cell>
          <cell r="K35">
            <v>226006.33333333334</v>
          </cell>
          <cell r="L35">
            <v>234916</v>
          </cell>
          <cell r="M35">
            <v>232502</v>
          </cell>
          <cell r="N35">
            <v>4416</v>
          </cell>
          <cell r="O35">
            <v>4338</v>
          </cell>
          <cell r="P35">
            <v>4079</v>
          </cell>
          <cell r="Q35">
            <v>4149</v>
          </cell>
          <cell r="R35">
            <v>4090</v>
          </cell>
          <cell r="S35">
            <v>4025</v>
          </cell>
          <cell r="T35">
            <v>3575</v>
          </cell>
          <cell r="U35">
            <v>4277.666666666667</v>
          </cell>
          <cell r="V35">
            <v>4188.666666666667</v>
          </cell>
          <cell r="W35">
            <v>4106</v>
          </cell>
          <cell r="X35">
            <v>4088</v>
          </cell>
          <cell r="Y35">
            <v>3896.6666666666665</v>
          </cell>
          <cell r="Z35">
            <v>172</v>
          </cell>
          <cell r="AA35">
            <v>146</v>
          </cell>
          <cell r="AB35">
            <v>216</v>
          </cell>
          <cell r="AC35">
            <v>172</v>
          </cell>
          <cell r="AD35">
            <v>365</v>
          </cell>
          <cell r="AE35">
            <v>415</v>
          </cell>
          <cell r="AF35">
            <v>398</v>
          </cell>
          <cell r="AG35">
            <v>178</v>
          </cell>
          <cell r="AH35">
            <v>178</v>
          </cell>
          <cell r="AI35">
            <v>251</v>
          </cell>
          <cell r="AJ35">
            <v>317.33333333333331</v>
          </cell>
          <cell r="AK35">
            <v>392.66666666666669</v>
          </cell>
          <cell r="AL35">
            <v>15</v>
          </cell>
          <cell r="AM35">
            <v>3.614457831325301E-2</v>
          </cell>
          <cell r="AN35">
            <v>46.504948180472212</v>
          </cell>
          <cell r="AO35">
            <v>51.180327868852459</v>
          </cell>
          <cell r="AP35">
            <v>55.042945283325217</v>
          </cell>
          <cell r="AQ35">
            <v>57.464774951076322</v>
          </cell>
          <cell r="AR35">
            <v>59.666894781864841</v>
          </cell>
          <cell r="AS35" t="str">
            <v/>
          </cell>
          <cell r="AV35">
            <v>59.666894781864841</v>
          </cell>
        </row>
        <row r="36">
          <cell r="A36" t="str">
            <v>Neurology: Epilepsy/EEG</v>
          </cell>
          <cell r="B36">
            <v>210989</v>
          </cell>
          <cell r="C36">
            <v>216320</v>
          </cell>
          <cell r="D36">
            <v>226543</v>
          </cell>
          <cell r="E36">
            <v>243153</v>
          </cell>
          <cell r="F36">
            <v>233640</v>
          </cell>
          <cell r="G36">
            <v>240446</v>
          </cell>
          <cell r="H36">
            <v>240517</v>
          </cell>
          <cell r="I36">
            <v>217950.66666666666</v>
          </cell>
          <cell r="J36">
            <v>228672</v>
          </cell>
          <cell r="K36">
            <v>234445.33333333334</v>
          </cell>
          <cell r="L36">
            <v>239079.66666666666</v>
          </cell>
          <cell r="M36">
            <v>238201</v>
          </cell>
          <cell r="N36">
            <v>6150</v>
          </cell>
          <cell r="O36">
            <v>7281</v>
          </cell>
          <cell r="P36">
            <v>6532</v>
          </cell>
          <cell r="Q36">
            <v>8105</v>
          </cell>
          <cell r="R36">
            <v>6869</v>
          </cell>
          <cell r="S36">
            <v>7242</v>
          </cell>
          <cell r="T36">
            <v>5825</v>
          </cell>
          <cell r="U36">
            <v>6654.333333333333</v>
          </cell>
          <cell r="V36">
            <v>7306</v>
          </cell>
          <cell r="W36">
            <v>7168.666666666667</v>
          </cell>
          <cell r="X36">
            <v>7405.333333333333</v>
          </cell>
          <cell r="Y36">
            <v>6645.333333333333</v>
          </cell>
          <cell r="Z36">
            <v>25</v>
          </cell>
          <cell r="AA36">
            <v>16</v>
          </cell>
          <cell r="AB36">
            <v>25</v>
          </cell>
          <cell r="AC36">
            <v>32</v>
          </cell>
          <cell r="AD36">
            <v>40</v>
          </cell>
          <cell r="AE36">
            <v>65</v>
          </cell>
          <cell r="AF36">
            <v>83</v>
          </cell>
          <cell r="AG36">
            <v>22</v>
          </cell>
          <cell r="AH36">
            <v>24.333333333333332</v>
          </cell>
          <cell r="AI36">
            <v>32.333333333333336</v>
          </cell>
          <cell r="AJ36">
            <v>45.666666666666664</v>
          </cell>
          <cell r="AK36">
            <v>62.666666666666664</v>
          </cell>
          <cell r="AL36">
            <v>2</v>
          </cell>
          <cell r="AM36">
            <v>3.0769230769230771E-2</v>
          </cell>
          <cell r="AN36">
            <v>32.753193407804439</v>
          </cell>
          <cell r="AO36">
            <v>31.299206131946345</v>
          </cell>
          <cell r="AP36">
            <v>32.704175578908213</v>
          </cell>
          <cell r="AQ36">
            <v>32.284794742527907</v>
          </cell>
          <cell r="AR36">
            <v>35.84485353130016</v>
          </cell>
          <cell r="AS36" t="str">
            <v/>
          </cell>
          <cell r="AV36">
            <v>35.84485353130016</v>
          </cell>
        </row>
        <row r="37">
          <cell r="A37" t="str">
            <v>Neurology: Neuromuscular</v>
          </cell>
          <cell r="B37">
            <v>196661</v>
          </cell>
          <cell r="C37">
            <v>184032</v>
          </cell>
          <cell r="D37">
            <v>208556</v>
          </cell>
          <cell r="E37">
            <v>234370</v>
          </cell>
          <cell r="F37">
            <v>229347</v>
          </cell>
          <cell r="G37">
            <v>240463</v>
          </cell>
          <cell r="H37">
            <v>242267</v>
          </cell>
          <cell r="I37">
            <v>196416.33333333334</v>
          </cell>
          <cell r="J37">
            <v>208986</v>
          </cell>
          <cell r="K37">
            <v>224091</v>
          </cell>
          <cell r="L37">
            <v>234726.66666666666</v>
          </cell>
          <cell r="M37">
            <v>237359</v>
          </cell>
          <cell r="N37">
            <v>3527</v>
          </cell>
          <cell r="O37">
            <v>4097</v>
          </cell>
          <cell r="P37">
            <v>4053</v>
          </cell>
          <cell r="Q37">
            <v>3870</v>
          </cell>
          <cell r="R37">
            <v>4588</v>
          </cell>
          <cell r="S37">
            <v>3935</v>
          </cell>
          <cell r="T37">
            <v>3667</v>
          </cell>
          <cell r="U37">
            <v>3892.3333333333335</v>
          </cell>
          <cell r="V37">
            <v>4006.6666666666665</v>
          </cell>
          <cell r="W37">
            <v>4170.333333333333</v>
          </cell>
          <cell r="X37">
            <v>4131</v>
          </cell>
          <cell r="Y37">
            <v>4063.3333333333335</v>
          </cell>
          <cell r="Z37">
            <v>25</v>
          </cell>
          <cell r="AA37">
            <v>20</v>
          </cell>
          <cell r="AB37">
            <v>33</v>
          </cell>
          <cell r="AC37">
            <v>36</v>
          </cell>
          <cell r="AD37">
            <v>36</v>
          </cell>
          <cell r="AE37">
            <v>47</v>
          </cell>
          <cell r="AF37">
            <v>49</v>
          </cell>
          <cell r="AG37">
            <v>26</v>
          </cell>
          <cell r="AH37">
            <v>29.666666666666668</v>
          </cell>
          <cell r="AI37">
            <v>35</v>
          </cell>
          <cell r="AJ37">
            <v>39.666666666666664</v>
          </cell>
          <cell r="AK37">
            <v>44</v>
          </cell>
          <cell r="AL37">
            <v>3</v>
          </cell>
          <cell r="AM37">
            <v>6.3829787234042548E-2</v>
          </cell>
          <cell r="AN37">
            <v>50.46236190802432</v>
          </cell>
          <cell r="AO37">
            <v>52.15956738768719</v>
          </cell>
          <cell r="AP37">
            <v>53.734553592838303</v>
          </cell>
          <cell r="AQ37">
            <v>56.820785927539738</v>
          </cell>
          <cell r="AR37">
            <v>58.414848236259225</v>
          </cell>
          <cell r="AS37" t="str">
            <v/>
          </cell>
          <cell r="AV37">
            <v>58.414848236259225</v>
          </cell>
        </row>
        <row r="38">
          <cell r="A38" t="str">
            <v>Neurology: Stroke Medicine</v>
          </cell>
          <cell r="B38">
            <v>182000</v>
          </cell>
          <cell r="C38">
            <v>207808</v>
          </cell>
          <cell r="D38">
            <v>206472</v>
          </cell>
          <cell r="E38">
            <v>226396</v>
          </cell>
          <cell r="F38">
            <v>252127</v>
          </cell>
          <cell r="G38">
            <v>270980</v>
          </cell>
          <cell r="H38">
            <v>285847</v>
          </cell>
          <cell r="I38">
            <v>198760</v>
          </cell>
          <cell r="J38">
            <v>213558.66666666666</v>
          </cell>
          <cell r="K38">
            <v>228331.66666666666</v>
          </cell>
          <cell r="L38">
            <v>249834.33333333334</v>
          </cell>
          <cell r="M38">
            <v>269651.33333333331</v>
          </cell>
          <cell r="N38" t="str">
            <v>*</v>
          </cell>
          <cell r="O38" t="str">
            <v>*</v>
          </cell>
          <cell r="P38">
            <v>3533</v>
          </cell>
          <cell r="Q38">
            <v>3778</v>
          </cell>
          <cell r="R38">
            <v>3446</v>
          </cell>
          <cell r="S38">
            <v>3956</v>
          </cell>
          <cell r="T38">
            <v>3405</v>
          </cell>
          <cell r="U38">
            <v>3533</v>
          </cell>
          <cell r="V38">
            <v>3655.5</v>
          </cell>
          <cell r="W38">
            <v>3585.6666666666665</v>
          </cell>
          <cell r="X38">
            <v>3726.6666666666665</v>
          </cell>
          <cell r="Y38">
            <v>3602.3333333333335</v>
          </cell>
          <cell r="Z38">
            <v>9</v>
          </cell>
          <cell r="AA38">
            <v>7</v>
          </cell>
          <cell r="AB38">
            <v>18</v>
          </cell>
          <cell r="AC38">
            <v>14</v>
          </cell>
          <cell r="AD38">
            <v>21</v>
          </cell>
          <cell r="AE38">
            <v>35</v>
          </cell>
          <cell r="AF38">
            <v>42</v>
          </cell>
          <cell r="AG38">
            <v>11.333333333333334</v>
          </cell>
          <cell r="AH38">
            <v>13</v>
          </cell>
          <cell r="AI38">
            <v>17.666666666666668</v>
          </cell>
          <cell r="AJ38">
            <v>23.333333333333332</v>
          </cell>
          <cell r="AK38">
            <v>32.666666666666664</v>
          </cell>
          <cell r="AL38">
            <v>2</v>
          </cell>
          <cell r="AM38">
            <v>5.7142857142857141E-2</v>
          </cell>
          <cell r="AN38">
            <v>56.258137560147183</v>
          </cell>
          <cell r="AO38">
            <v>58.4211918114257</v>
          </cell>
          <cell r="AP38">
            <v>63.678999721111836</v>
          </cell>
          <cell r="AQ38">
            <v>67.039624329159224</v>
          </cell>
          <cell r="AR38">
            <v>74.854631257518264</v>
          </cell>
          <cell r="AS38" t="str">
            <v/>
          </cell>
          <cell r="AV38">
            <v>74.854631257518264</v>
          </cell>
        </row>
        <row r="39">
          <cell r="A39" t="str">
            <v>OB/GYN: Gynecological Oncology</v>
          </cell>
          <cell r="B39">
            <v>329835</v>
          </cell>
          <cell r="C39">
            <v>316862</v>
          </cell>
          <cell r="D39">
            <v>367500</v>
          </cell>
          <cell r="E39">
            <v>402421</v>
          </cell>
          <cell r="F39">
            <v>401752</v>
          </cell>
          <cell r="G39">
            <v>396681</v>
          </cell>
          <cell r="H39">
            <v>400780</v>
          </cell>
          <cell r="I39">
            <v>338065.66666666669</v>
          </cell>
          <cell r="J39">
            <v>362261</v>
          </cell>
          <cell r="K39">
            <v>390557.66666666669</v>
          </cell>
          <cell r="L39">
            <v>400284.66666666669</v>
          </cell>
          <cell r="M39">
            <v>399737.66666666669</v>
          </cell>
          <cell r="N39">
            <v>6493</v>
          </cell>
          <cell r="O39">
            <v>6853</v>
          </cell>
          <cell r="P39">
            <v>6420</v>
          </cell>
          <cell r="Q39">
            <v>6382</v>
          </cell>
          <cell r="R39">
            <v>6723</v>
          </cell>
          <cell r="S39">
            <v>6989</v>
          </cell>
          <cell r="T39">
            <v>6205</v>
          </cell>
          <cell r="U39">
            <v>6588.666666666667</v>
          </cell>
          <cell r="V39">
            <v>6551.666666666667</v>
          </cell>
          <cell r="W39">
            <v>6508.333333333333</v>
          </cell>
          <cell r="X39">
            <v>6698</v>
          </cell>
          <cell r="Y39">
            <v>6639</v>
          </cell>
          <cell r="Z39">
            <v>38</v>
          </cell>
          <cell r="AA39">
            <v>13</v>
          </cell>
          <cell r="AB39">
            <v>24</v>
          </cell>
          <cell r="AC39">
            <v>46</v>
          </cell>
          <cell r="AD39">
            <v>48</v>
          </cell>
          <cell r="AE39">
            <v>81</v>
          </cell>
          <cell r="AF39">
            <v>74</v>
          </cell>
          <cell r="AG39">
            <v>25</v>
          </cell>
          <cell r="AH39">
            <v>27.666666666666668</v>
          </cell>
          <cell r="AI39">
            <v>39.333333333333336</v>
          </cell>
          <cell r="AJ39">
            <v>58.333333333333336</v>
          </cell>
          <cell r="AK39">
            <v>67.666666666666671</v>
          </cell>
          <cell r="AL39">
            <v>10</v>
          </cell>
          <cell r="AM39">
            <v>0.12345679012345678</v>
          </cell>
          <cell r="AN39">
            <v>51.310179095416373</v>
          </cell>
          <cell r="AO39">
            <v>55.292953446960055</v>
          </cell>
          <cell r="AP39">
            <v>60.008860435339315</v>
          </cell>
          <cell r="AQ39">
            <v>59.761819448591623</v>
          </cell>
          <cell r="AR39">
            <v>60.210523673243962</v>
          </cell>
          <cell r="AS39" t="str">
            <v/>
          </cell>
          <cell r="AV39">
            <v>60.210523673243962</v>
          </cell>
        </row>
        <row r="40">
          <cell r="A40" t="str">
            <v>OB/GYN: Gynecology (Only)</v>
          </cell>
          <cell r="B40">
            <v>240182</v>
          </cell>
          <cell r="C40">
            <v>251015</v>
          </cell>
          <cell r="D40">
            <v>239713</v>
          </cell>
          <cell r="E40">
            <v>260000</v>
          </cell>
          <cell r="F40">
            <v>245000</v>
          </cell>
          <cell r="G40">
            <v>256022</v>
          </cell>
          <cell r="H40">
            <v>263184</v>
          </cell>
          <cell r="I40">
            <v>243636.66666666666</v>
          </cell>
          <cell r="J40">
            <v>250242.66666666666</v>
          </cell>
          <cell r="K40">
            <v>248237.66666666666</v>
          </cell>
          <cell r="L40">
            <v>253674</v>
          </cell>
          <cell r="M40">
            <v>254735.33333333334</v>
          </cell>
          <cell r="N40">
            <v>4093</v>
          </cell>
          <cell r="O40">
            <v>4733</v>
          </cell>
          <cell r="P40">
            <v>4873</v>
          </cell>
          <cell r="Q40">
            <v>5115</v>
          </cell>
          <cell r="R40">
            <v>3958</v>
          </cell>
          <cell r="S40">
            <v>4570</v>
          </cell>
          <cell r="T40">
            <v>4407</v>
          </cell>
          <cell r="U40">
            <v>4566.333333333333</v>
          </cell>
          <cell r="V40">
            <v>4907</v>
          </cell>
          <cell r="W40">
            <v>4648.666666666667</v>
          </cell>
          <cell r="X40">
            <v>4547.666666666667</v>
          </cell>
          <cell r="Y40">
            <v>4311.666666666667</v>
          </cell>
          <cell r="Z40">
            <v>16</v>
          </cell>
          <cell r="AA40">
            <v>32</v>
          </cell>
          <cell r="AB40">
            <v>18</v>
          </cell>
          <cell r="AC40">
            <v>47</v>
          </cell>
          <cell r="AD40">
            <v>26</v>
          </cell>
          <cell r="AE40">
            <v>79</v>
          </cell>
          <cell r="AF40">
            <v>53</v>
          </cell>
          <cell r="AG40">
            <v>22</v>
          </cell>
          <cell r="AH40">
            <v>32.333333333333336</v>
          </cell>
          <cell r="AI40">
            <v>30.333333333333332</v>
          </cell>
          <cell r="AJ40">
            <v>50.666666666666664</v>
          </cell>
          <cell r="AK40">
            <v>52.666666666666664</v>
          </cell>
          <cell r="AL40">
            <v>10</v>
          </cell>
          <cell r="AM40">
            <v>0.12658227848101267</v>
          </cell>
          <cell r="AN40">
            <v>53.354989415285786</v>
          </cell>
          <cell r="AO40">
            <v>50.997079002785135</v>
          </cell>
          <cell r="AP40">
            <v>53.399756202495333</v>
          </cell>
          <cell r="AQ40">
            <v>55.781133181851494</v>
          </cell>
          <cell r="AR40">
            <v>59.080479319675298</v>
          </cell>
          <cell r="AS40" t="str">
            <v/>
          </cell>
          <cell r="AV40">
            <v>59.080479319675298</v>
          </cell>
        </row>
        <row r="41">
          <cell r="A41" t="str">
            <v>OB/GYN: Maternal and Fetal Medicine</v>
          </cell>
          <cell r="B41">
            <v>349999</v>
          </cell>
          <cell r="C41">
            <v>371181</v>
          </cell>
          <cell r="D41">
            <v>386825</v>
          </cell>
          <cell r="E41">
            <v>396332</v>
          </cell>
          <cell r="F41">
            <v>374076</v>
          </cell>
          <cell r="G41">
            <v>390213</v>
          </cell>
          <cell r="H41">
            <v>398573</v>
          </cell>
          <cell r="I41">
            <v>369335</v>
          </cell>
          <cell r="J41">
            <v>384779.33333333331</v>
          </cell>
          <cell r="K41">
            <v>385744.33333333331</v>
          </cell>
          <cell r="L41">
            <v>386873.66666666669</v>
          </cell>
          <cell r="M41">
            <v>387620.66666666669</v>
          </cell>
          <cell r="N41">
            <v>7666</v>
          </cell>
          <cell r="O41">
            <v>9701</v>
          </cell>
          <cell r="P41">
            <v>8834</v>
          </cell>
          <cell r="Q41">
            <v>7571</v>
          </cell>
          <cell r="R41">
            <v>8057</v>
          </cell>
          <cell r="S41">
            <v>8352</v>
          </cell>
          <cell r="T41">
            <v>7375</v>
          </cell>
          <cell r="U41">
            <v>8733.6666666666661</v>
          </cell>
          <cell r="V41">
            <v>8702</v>
          </cell>
          <cell r="W41">
            <v>8154</v>
          </cell>
          <cell r="X41">
            <v>7993.333333333333</v>
          </cell>
          <cell r="Y41">
            <v>7928</v>
          </cell>
          <cell r="Z41">
            <v>66</v>
          </cell>
          <cell r="AA41">
            <v>38</v>
          </cell>
          <cell r="AB41">
            <v>49</v>
          </cell>
          <cell r="AC41">
            <v>91</v>
          </cell>
          <cell r="AD41">
            <v>107</v>
          </cell>
          <cell r="AE41">
            <v>142</v>
          </cell>
          <cell r="AF41">
            <v>150</v>
          </cell>
          <cell r="AG41">
            <v>51</v>
          </cell>
          <cell r="AH41">
            <v>59.333333333333336</v>
          </cell>
          <cell r="AI41">
            <v>82.333333333333329</v>
          </cell>
          <cell r="AJ41">
            <v>113.33333333333333</v>
          </cell>
          <cell r="AK41">
            <v>133</v>
          </cell>
          <cell r="AL41">
            <v>13</v>
          </cell>
          <cell r="AM41">
            <v>9.154929577464789E-2</v>
          </cell>
          <cell r="AN41">
            <v>42.288653104843327</v>
          </cell>
          <cell r="AO41">
            <v>44.217344671722977</v>
          </cell>
          <cell r="AP41">
            <v>47.307374703621939</v>
          </cell>
          <cell r="AQ41">
            <v>48.399541284403675</v>
          </cell>
          <cell r="AR41">
            <v>48.892616885301045</v>
          </cell>
          <cell r="AS41" t="str">
            <v/>
          </cell>
          <cell r="AV41">
            <v>48.892616885301045</v>
          </cell>
        </row>
        <row r="42">
          <cell r="A42" t="str">
            <v>OB/GYN: Reproductive Endocrinology</v>
          </cell>
          <cell r="B42">
            <v>316664</v>
          </cell>
          <cell r="C42">
            <v>292805</v>
          </cell>
          <cell r="D42">
            <v>307353</v>
          </cell>
          <cell r="E42">
            <v>336900</v>
          </cell>
          <cell r="F42">
            <v>319331</v>
          </cell>
          <cell r="G42">
            <v>318767</v>
          </cell>
          <cell r="H42">
            <v>336583</v>
          </cell>
          <cell r="I42">
            <v>305607.33333333331</v>
          </cell>
          <cell r="J42">
            <v>312352.66666666669</v>
          </cell>
          <cell r="K42">
            <v>321194.66666666669</v>
          </cell>
          <cell r="L42">
            <v>324999.33333333331</v>
          </cell>
          <cell r="M42">
            <v>324893.66666666669</v>
          </cell>
          <cell r="N42">
            <v>5944</v>
          </cell>
          <cell r="O42">
            <v>3490</v>
          </cell>
          <cell r="P42">
            <v>4553</v>
          </cell>
          <cell r="Q42">
            <v>5499</v>
          </cell>
          <cell r="R42">
            <v>3911</v>
          </cell>
          <cell r="S42">
            <v>5368</v>
          </cell>
          <cell r="T42">
            <v>4095</v>
          </cell>
          <cell r="U42">
            <v>4662.333333333333</v>
          </cell>
          <cell r="V42">
            <v>4514</v>
          </cell>
          <cell r="W42">
            <v>4654.333333333333</v>
          </cell>
          <cell r="X42">
            <v>4926</v>
          </cell>
          <cell r="Y42">
            <v>4458</v>
          </cell>
          <cell r="Z42">
            <v>17</v>
          </cell>
          <cell r="AA42">
            <v>12</v>
          </cell>
          <cell r="AB42">
            <v>13</v>
          </cell>
          <cell r="AC42">
            <v>15</v>
          </cell>
          <cell r="AD42">
            <v>27</v>
          </cell>
          <cell r="AE42">
            <v>41</v>
          </cell>
          <cell r="AF42">
            <v>39</v>
          </cell>
          <cell r="AG42">
            <v>14</v>
          </cell>
          <cell r="AH42">
            <v>13.333333333333334</v>
          </cell>
          <cell r="AI42">
            <v>18.333333333333332</v>
          </cell>
          <cell r="AJ42">
            <v>27.666666666666668</v>
          </cell>
          <cell r="AK42">
            <v>35.666666666666664</v>
          </cell>
          <cell r="AL42">
            <v>0</v>
          </cell>
          <cell r="AM42">
            <v>0</v>
          </cell>
          <cell r="AN42">
            <v>65.548151855294208</v>
          </cell>
          <cell r="AO42">
            <v>69.196425934130858</v>
          </cell>
          <cell r="AP42">
            <v>69.009811645061959</v>
          </cell>
          <cell r="AQ42">
            <v>65.976316145621865</v>
          </cell>
          <cell r="AR42">
            <v>72.878794676237476</v>
          </cell>
          <cell r="AS42" t="str">
            <v/>
          </cell>
          <cell r="AV42">
            <v>72.878794676237476</v>
          </cell>
        </row>
        <row r="43">
          <cell r="A43" t="str">
            <v>OB/GYN: Urogynecology</v>
          </cell>
          <cell r="B43">
            <v>277869</v>
          </cell>
          <cell r="C43">
            <v>285928</v>
          </cell>
          <cell r="D43">
            <v>305000</v>
          </cell>
          <cell r="E43">
            <v>305271</v>
          </cell>
          <cell r="F43">
            <v>321484</v>
          </cell>
          <cell r="G43">
            <v>330000</v>
          </cell>
          <cell r="H43">
            <v>329105</v>
          </cell>
          <cell r="I43">
            <v>289599</v>
          </cell>
          <cell r="J43">
            <v>298733</v>
          </cell>
          <cell r="K43">
            <v>310585</v>
          </cell>
          <cell r="L43">
            <v>318918.33333333331</v>
          </cell>
          <cell r="M43">
            <v>326863</v>
          </cell>
          <cell r="N43">
            <v>5631</v>
          </cell>
          <cell r="O43">
            <v>6459</v>
          </cell>
          <cell r="P43">
            <v>6025</v>
          </cell>
          <cell r="Q43">
            <v>5687</v>
          </cell>
          <cell r="R43">
            <v>5720</v>
          </cell>
          <cell r="S43">
            <v>6100</v>
          </cell>
          <cell r="T43">
            <v>5304</v>
          </cell>
          <cell r="U43">
            <v>6038.333333333333</v>
          </cell>
          <cell r="V43">
            <v>6057</v>
          </cell>
          <cell r="W43">
            <v>5810.666666666667</v>
          </cell>
          <cell r="X43">
            <v>5835.666666666667</v>
          </cell>
          <cell r="Y43">
            <v>5708</v>
          </cell>
          <cell r="Z43">
            <v>17</v>
          </cell>
          <cell r="AA43">
            <v>13</v>
          </cell>
          <cell r="AB43">
            <v>15</v>
          </cell>
          <cell r="AC43">
            <v>35</v>
          </cell>
          <cell r="AD43">
            <v>35</v>
          </cell>
          <cell r="AE43">
            <v>57</v>
          </cell>
          <cell r="AF43">
            <v>58</v>
          </cell>
          <cell r="AG43">
            <v>15</v>
          </cell>
          <cell r="AH43">
            <v>21</v>
          </cell>
          <cell r="AI43">
            <v>28.333333333333332</v>
          </cell>
          <cell r="AJ43">
            <v>42.333333333333336</v>
          </cell>
          <cell r="AK43">
            <v>50</v>
          </cell>
          <cell r="AL43">
            <v>4</v>
          </cell>
          <cell r="AM43">
            <v>7.0175438596491224E-2</v>
          </cell>
          <cell r="AN43">
            <v>47.960088324592881</v>
          </cell>
          <cell r="AO43">
            <v>49.320290572890869</v>
          </cell>
          <cell r="AP43">
            <v>53.45083754015603</v>
          </cell>
          <cell r="AQ43">
            <v>54.649854343976692</v>
          </cell>
          <cell r="AR43">
            <v>57.264015416958657</v>
          </cell>
          <cell r="AS43" t="str">
            <v/>
          </cell>
          <cell r="AV43">
            <v>57.264015416958657</v>
          </cell>
        </row>
        <row r="44">
          <cell r="A44" t="str">
            <v>Obstetrics/Gynecology: General</v>
          </cell>
          <cell r="B44">
            <v>253053</v>
          </cell>
          <cell r="C44">
            <v>278609</v>
          </cell>
          <cell r="D44">
            <v>260209</v>
          </cell>
          <cell r="E44">
            <v>273070</v>
          </cell>
          <cell r="F44">
            <v>270381</v>
          </cell>
          <cell r="G44">
            <v>281782</v>
          </cell>
          <cell r="H44">
            <v>289515</v>
          </cell>
          <cell r="I44">
            <v>263957</v>
          </cell>
          <cell r="J44">
            <v>270629.33333333331</v>
          </cell>
          <cell r="K44">
            <v>267886.66666666669</v>
          </cell>
          <cell r="L44">
            <v>275077.66666666669</v>
          </cell>
          <cell r="M44">
            <v>280559.33333333331</v>
          </cell>
          <cell r="N44">
            <v>7611</v>
          </cell>
          <cell r="O44">
            <v>6885</v>
          </cell>
          <cell r="P44">
            <v>6956</v>
          </cell>
          <cell r="Q44">
            <v>6999</v>
          </cell>
          <cell r="R44">
            <v>6846</v>
          </cell>
          <cell r="S44">
            <v>6663</v>
          </cell>
          <cell r="T44">
            <v>6199</v>
          </cell>
          <cell r="U44">
            <v>7150.666666666667</v>
          </cell>
          <cell r="V44">
            <v>6946.666666666667</v>
          </cell>
          <cell r="W44">
            <v>6933.666666666667</v>
          </cell>
          <cell r="X44">
            <v>6836</v>
          </cell>
          <cell r="Y44">
            <v>6569.333333333333</v>
          </cell>
          <cell r="Z44">
            <v>198</v>
          </cell>
          <cell r="AA44">
            <v>187</v>
          </cell>
          <cell r="AB44">
            <v>139</v>
          </cell>
          <cell r="AC44">
            <v>205</v>
          </cell>
          <cell r="AD44">
            <v>220</v>
          </cell>
          <cell r="AE44">
            <v>370</v>
          </cell>
          <cell r="AF44">
            <v>441</v>
          </cell>
          <cell r="AG44">
            <v>174.66666666666666</v>
          </cell>
          <cell r="AH44">
            <v>177</v>
          </cell>
          <cell r="AI44">
            <v>188</v>
          </cell>
          <cell r="AJ44">
            <v>265</v>
          </cell>
          <cell r="AK44">
            <v>343.66666666666669</v>
          </cell>
          <cell r="AL44">
            <v>12</v>
          </cell>
          <cell r="AM44">
            <v>3.2432432432432434E-2</v>
          </cell>
          <cell r="AN44">
            <v>36.913621107589037</v>
          </cell>
          <cell r="AO44">
            <v>38.958157389635311</v>
          </cell>
          <cell r="AP44">
            <v>38.635642517186675</v>
          </cell>
          <cell r="AQ44">
            <v>40.239565047786236</v>
          </cell>
          <cell r="AR44">
            <v>42.707428455449559</v>
          </cell>
          <cell r="AS44" t="str">
            <v/>
          </cell>
          <cell r="AV44">
            <v>42.707428455449559</v>
          </cell>
        </row>
        <row r="45">
          <cell r="A45" t="str">
            <v>Ophthalmology</v>
          </cell>
          <cell r="B45">
            <v>249281</v>
          </cell>
          <cell r="C45">
            <v>312840</v>
          </cell>
          <cell r="D45">
            <v>259388</v>
          </cell>
          <cell r="E45">
            <v>303399</v>
          </cell>
          <cell r="F45">
            <v>267701</v>
          </cell>
          <cell r="G45">
            <v>288267</v>
          </cell>
          <cell r="H45">
            <v>290612</v>
          </cell>
          <cell r="I45">
            <v>273836.33333333331</v>
          </cell>
          <cell r="J45">
            <v>291875.66666666669</v>
          </cell>
          <cell r="K45">
            <v>276829.33333333331</v>
          </cell>
          <cell r="L45">
            <v>286455.66666666669</v>
          </cell>
          <cell r="M45">
            <v>282193.33333333331</v>
          </cell>
          <cell r="N45">
            <v>8123</v>
          </cell>
          <cell r="O45">
            <v>8893</v>
          </cell>
          <cell r="P45">
            <v>7934</v>
          </cell>
          <cell r="Q45">
            <v>7596</v>
          </cell>
          <cell r="R45">
            <v>6827</v>
          </cell>
          <cell r="S45">
            <v>7276</v>
          </cell>
          <cell r="T45">
            <v>7991</v>
          </cell>
          <cell r="U45">
            <v>8316.6666666666661</v>
          </cell>
          <cell r="V45">
            <v>8141</v>
          </cell>
          <cell r="W45">
            <v>7452.333333333333</v>
          </cell>
          <cell r="X45">
            <v>7233</v>
          </cell>
          <cell r="Y45">
            <v>7364.666666666667</v>
          </cell>
          <cell r="Z45">
            <v>101</v>
          </cell>
          <cell r="AA45">
            <v>62</v>
          </cell>
          <cell r="AB45">
            <v>90</v>
          </cell>
          <cell r="AC45">
            <v>115</v>
          </cell>
          <cell r="AD45">
            <v>89</v>
          </cell>
          <cell r="AE45">
            <v>132</v>
          </cell>
          <cell r="AF45">
            <v>158</v>
          </cell>
          <cell r="AG45">
            <v>84.333333333333329</v>
          </cell>
          <cell r="AH45">
            <v>89</v>
          </cell>
          <cell r="AI45">
            <v>98</v>
          </cell>
          <cell r="AJ45">
            <v>112</v>
          </cell>
          <cell r="AK45">
            <v>126.33333333333333</v>
          </cell>
          <cell r="AL45">
            <v>1</v>
          </cell>
          <cell r="AM45">
            <v>7.575757575757576E-3</v>
          </cell>
          <cell r="AN45">
            <v>32.926212424849702</v>
          </cell>
          <cell r="AO45">
            <v>35.852557015927609</v>
          </cell>
          <cell r="AP45">
            <v>37.146665473900789</v>
          </cell>
          <cell r="AQ45">
            <v>39.603990967325686</v>
          </cell>
          <cell r="AR45">
            <v>38.317190187381186</v>
          </cell>
          <cell r="AS45" t="str">
            <v/>
          </cell>
          <cell r="AV45">
            <v>38.317190187381186</v>
          </cell>
        </row>
        <row r="46">
          <cell r="A46" t="str">
            <v>Ophthalmology: Corneal and Refractive Surgery</v>
          </cell>
          <cell r="B46">
            <v>282332</v>
          </cell>
          <cell r="C46">
            <v>267956</v>
          </cell>
          <cell r="D46">
            <v>458000</v>
          </cell>
          <cell r="E46">
            <v>375221</v>
          </cell>
          <cell r="F46">
            <v>314557</v>
          </cell>
          <cell r="G46">
            <v>329675</v>
          </cell>
          <cell r="H46">
            <v>381753</v>
          </cell>
          <cell r="I46">
            <v>336096</v>
          </cell>
          <cell r="J46">
            <v>367059</v>
          </cell>
          <cell r="K46">
            <v>382592.66666666669</v>
          </cell>
          <cell r="L46">
            <v>339817.66666666669</v>
          </cell>
          <cell r="M46">
            <v>341995</v>
          </cell>
          <cell r="N46">
            <v>9205</v>
          </cell>
          <cell r="O46">
            <v>8914</v>
          </cell>
          <cell r="P46">
            <v>9786</v>
          </cell>
          <cell r="Q46">
            <v>7008</v>
          </cell>
          <cell r="R46">
            <v>8061</v>
          </cell>
          <cell r="S46">
            <v>7959</v>
          </cell>
          <cell r="T46">
            <v>7668</v>
          </cell>
          <cell r="U46">
            <v>9301.6666666666661</v>
          </cell>
          <cell r="V46">
            <v>8569.3333333333339</v>
          </cell>
          <cell r="W46">
            <v>8285</v>
          </cell>
          <cell r="X46">
            <v>7676</v>
          </cell>
          <cell r="Y46">
            <v>7896</v>
          </cell>
          <cell r="Z46">
            <v>10</v>
          </cell>
          <cell r="AA46">
            <v>18</v>
          </cell>
          <cell r="AB46">
            <v>12</v>
          </cell>
          <cell r="AC46">
            <v>14</v>
          </cell>
          <cell r="AD46">
            <v>16</v>
          </cell>
          <cell r="AE46">
            <v>29</v>
          </cell>
          <cell r="AF46">
            <v>33</v>
          </cell>
          <cell r="AG46">
            <v>13.333333333333334</v>
          </cell>
          <cell r="AH46">
            <v>14.666666666666666</v>
          </cell>
          <cell r="AI46">
            <v>14</v>
          </cell>
          <cell r="AJ46">
            <v>19.666666666666668</v>
          </cell>
          <cell r="AK46">
            <v>26</v>
          </cell>
          <cell r="AL46">
            <v>1</v>
          </cell>
          <cell r="AM46">
            <v>3.4482758620689655E-2</v>
          </cell>
          <cell r="AN46">
            <v>36.132879412291707</v>
          </cell>
          <cell r="AO46">
            <v>42.834020538353819</v>
          </cell>
          <cell r="AP46">
            <v>46.178957956145645</v>
          </cell>
          <cell r="AQ46">
            <v>44.270149383359389</v>
          </cell>
          <cell r="AR46">
            <v>43.312436676798377</v>
          </cell>
          <cell r="AS46" t="str">
            <v/>
          </cell>
          <cell r="AV46">
            <v>43.312436676798377</v>
          </cell>
        </row>
        <row r="47">
          <cell r="A47" t="str">
            <v>Ophthalmology: Glaucoma</v>
          </cell>
          <cell r="B47">
            <v>243681</v>
          </cell>
          <cell r="C47">
            <v>199775</v>
          </cell>
          <cell r="D47">
            <v>244191</v>
          </cell>
          <cell r="E47">
            <v>304448</v>
          </cell>
          <cell r="F47">
            <v>380702</v>
          </cell>
          <cell r="G47">
            <v>348257</v>
          </cell>
          <cell r="H47">
            <v>355455</v>
          </cell>
          <cell r="I47">
            <v>229215.66666666666</v>
          </cell>
          <cell r="J47">
            <v>249471.33333333334</v>
          </cell>
          <cell r="K47">
            <v>309780.33333333331</v>
          </cell>
          <cell r="L47">
            <v>344469</v>
          </cell>
          <cell r="M47">
            <v>361471.33333333331</v>
          </cell>
          <cell r="N47" t="str">
            <v>*</v>
          </cell>
          <cell r="O47">
            <v>7292</v>
          </cell>
          <cell r="P47">
            <v>7725</v>
          </cell>
          <cell r="Q47">
            <v>7995</v>
          </cell>
          <cell r="R47">
            <v>9760</v>
          </cell>
          <cell r="S47">
            <v>8587</v>
          </cell>
          <cell r="T47">
            <v>8095</v>
          </cell>
          <cell r="U47">
            <v>7508.5</v>
          </cell>
          <cell r="V47">
            <v>7670.666666666667</v>
          </cell>
          <cell r="W47">
            <v>8493.3333333333339</v>
          </cell>
          <cell r="X47">
            <v>8780.6666666666661</v>
          </cell>
          <cell r="Y47">
            <v>8814</v>
          </cell>
          <cell r="Z47">
            <v>7</v>
          </cell>
          <cell r="AA47">
            <v>12</v>
          </cell>
          <cell r="AB47">
            <v>12</v>
          </cell>
          <cell r="AC47">
            <v>12</v>
          </cell>
          <cell r="AD47">
            <v>15</v>
          </cell>
          <cell r="AE47">
            <v>32</v>
          </cell>
          <cell r="AF47">
            <v>43</v>
          </cell>
          <cell r="AG47">
            <v>10.333333333333334</v>
          </cell>
          <cell r="AH47">
            <v>12</v>
          </cell>
          <cell r="AI47">
            <v>13</v>
          </cell>
          <cell r="AJ47">
            <v>19.666666666666668</v>
          </cell>
          <cell r="AK47">
            <v>30</v>
          </cell>
          <cell r="AL47">
            <v>4</v>
          </cell>
          <cell r="AM47">
            <v>0.125</v>
          </cell>
          <cell r="AN47">
            <v>30.527491065681115</v>
          </cell>
          <cell r="AO47">
            <v>32.522770728315663</v>
          </cell>
          <cell r="AP47">
            <v>36.473351648351645</v>
          </cell>
          <cell r="AQ47">
            <v>39.230392529041076</v>
          </cell>
          <cell r="AR47">
            <v>41.011043037591705</v>
          </cell>
          <cell r="AS47" t="str">
            <v/>
          </cell>
          <cell r="AV47">
            <v>41.011043037591705</v>
          </cell>
        </row>
        <row r="48">
          <cell r="A48" t="str">
            <v>Ophthalmology: Neurology</v>
          </cell>
          <cell r="B48">
            <v>196698</v>
          </cell>
          <cell r="C48" t="str">
            <v>*</v>
          </cell>
          <cell r="D48" t="str">
            <v>*</v>
          </cell>
          <cell r="E48" t="str">
            <v>*</v>
          </cell>
          <cell r="F48" t="str">
            <v>*</v>
          </cell>
          <cell r="G48">
            <v>276155</v>
          </cell>
          <cell r="H48">
            <v>298793</v>
          </cell>
          <cell r="I48">
            <v>196698</v>
          </cell>
          <cell r="J48" t="str">
            <v>*</v>
          </cell>
          <cell r="K48" t="str">
            <v>*</v>
          </cell>
          <cell r="L48">
            <v>276155</v>
          </cell>
          <cell r="M48">
            <v>287474</v>
          </cell>
          <cell r="N48" t="str">
            <v>*</v>
          </cell>
          <cell r="O48" t="str">
            <v>*</v>
          </cell>
          <cell r="P48" t="str">
            <v>*</v>
          </cell>
          <cell r="Q48" t="str">
            <v>*</v>
          </cell>
          <cell r="R48" t="str">
            <v>*</v>
          </cell>
          <cell r="S48">
            <v>5243</v>
          </cell>
          <cell r="T48">
            <v>5455</v>
          </cell>
          <cell r="U48" t="str">
            <v>*</v>
          </cell>
          <cell r="V48" t="str">
            <v>*</v>
          </cell>
          <cell r="W48" t="str">
            <v>*</v>
          </cell>
          <cell r="X48">
            <v>5243</v>
          </cell>
          <cell r="Y48">
            <v>5349</v>
          </cell>
          <cell r="Z48">
            <v>6</v>
          </cell>
          <cell r="AA48">
            <v>6</v>
          </cell>
          <cell r="AB48">
            <v>5</v>
          </cell>
          <cell r="AC48">
            <v>6</v>
          </cell>
          <cell r="AD48">
            <v>6</v>
          </cell>
          <cell r="AE48">
            <v>10</v>
          </cell>
          <cell r="AF48">
            <v>11</v>
          </cell>
          <cell r="AG48">
            <v>5.666666666666667</v>
          </cell>
          <cell r="AH48">
            <v>5.666666666666667</v>
          </cell>
          <cell r="AI48">
            <v>5.666666666666667</v>
          </cell>
          <cell r="AJ48">
            <v>7.333333333333333</v>
          </cell>
          <cell r="AK48">
            <v>9</v>
          </cell>
          <cell r="AL48">
            <v>0</v>
          </cell>
          <cell r="AM48">
            <v>0</v>
          </cell>
          <cell r="AN48" t="str">
            <v>*</v>
          </cell>
          <cell r="AO48" t="str">
            <v>*</v>
          </cell>
          <cell r="AP48" t="str">
            <v>*</v>
          </cell>
          <cell r="AQ48">
            <v>52.671180621781424</v>
          </cell>
          <cell r="AR48">
            <v>53.743503458590389</v>
          </cell>
          <cell r="AS48" t="str">
            <v>Low N</v>
          </cell>
          <cell r="AT48" t="str">
            <v>Ophthalmology</v>
          </cell>
          <cell r="AU48">
            <v>38.317190187381186</v>
          </cell>
          <cell r="AV48">
            <v>38.317190187381186</v>
          </cell>
        </row>
        <row r="49">
          <cell r="A49" t="str">
            <v>Ophthalmology: Oculoplastic and Reconstructive Surgery</v>
          </cell>
          <cell r="B49">
            <v>227679</v>
          </cell>
          <cell r="C49" t="str">
            <v>*</v>
          </cell>
          <cell r="D49">
            <v>360284</v>
          </cell>
          <cell r="E49" t="str">
            <v>*</v>
          </cell>
          <cell r="F49">
            <v>347145</v>
          </cell>
          <cell r="G49">
            <v>319511</v>
          </cell>
          <cell r="H49">
            <v>396912</v>
          </cell>
          <cell r="I49">
            <v>293981.5</v>
          </cell>
          <cell r="J49">
            <v>360284</v>
          </cell>
          <cell r="K49">
            <v>353714.5</v>
          </cell>
          <cell r="L49">
            <v>333328</v>
          </cell>
          <cell r="M49">
            <v>354522.66666666669</v>
          </cell>
          <cell r="N49">
            <v>8133</v>
          </cell>
          <cell r="O49" t="str">
            <v>*</v>
          </cell>
          <cell r="P49">
            <v>7020</v>
          </cell>
          <cell r="Q49" t="str">
            <v>*</v>
          </cell>
          <cell r="R49">
            <v>8467</v>
          </cell>
          <cell r="S49">
            <v>7183</v>
          </cell>
          <cell r="T49">
            <v>5771</v>
          </cell>
          <cell r="U49">
            <v>7576.5</v>
          </cell>
          <cell r="V49">
            <v>7020</v>
          </cell>
          <cell r="W49">
            <v>7743.5</v>
          </cell>
          <cell r="X49">
            <v>7825</v>
          </cell>
          <cell r="Y49">
            <v>7140.333333333333</v>
          </cell>
          <cell r="Z49">
            <v>11</v>
          </cell>
          <cell r="AA49">
            <v>7</v>
          </cell>
          <cell r="AB49">
            <v>10</v>
          </cell>
          <cell r="AC49">
            <v>0</v>
          </cell>
          <cell r="AD49">
            <v>12</v>
          </cell>
          <cell r="AE49">
            <v>25</v>
          </cell>
          <cell r="AF49">
            <v>27</v>
          </cell>
          <cell r="AG49">
            <v>9.3333333333333339</v>
          </cell>
          <cell r="AH49">
            <v>5.666666666666667</v>
          </cell>
          <cell r="AI49">
            <v>7.333333333333333</v>
          </cell>
          <cell r="AJ49">
            <v>12.333333333333334</v>
          </cell>
          <cell r="AK49">
            <v>21.333333333333332</v>
          </cell>
          <cell r="AL49">
            <v>0</v>
          </cell>
          <cell r="AM49">
            <v>0</v>
          </cell>
          <cell r="AN49">
            <v>38.801755427968061</v>
          </cell>
          <cell r="AO49">
            <v>51.322507122507119</v>
          </cell>
          <cell r="AP49">
            <v>45.678891973913608</v>
          </cell>
          <cell r="AQ49">
            <v>42.59782747603834</v>
          </cell>
          <cell r="AR49">
            <v>49.650716586527246</v>
          </cell>
          <cell r="AS49" t="str">
            <v/>
          </cell>
          <cell r="AV49">
            <v>49.650716586527246</v>
          </cell>
        </row>
        <row r="50">
          <cell r="A50" t="str">
            <v>Ophthalmology: Retina</v>
          </cell>
          <cell r="B50">
            <v>348004</v>
          </cell>
          <cell r="C50">
            <v>285455</v>
          </cell>
          <cell r="D50">
            <v>339645</v>
          </cell>
          <cell r="E50">
            <v>468688</v>
          </cell>
          <cell r="F50">
            <v>369677</v>
          </cell>
          <cell r="G50">
            <v>362963</v>
          </cell>
          <cell r="H50">
            <v>407208</v>
          </cell>
          <cell r="I50">
            <v>324368</v>
          </cell>
          <cell r="J50">
            <v>364596</v>
          </cell>
          <cell r="K50">
            <v>392670</v>
          </cell>
          <cell r="L50">
            <v>400442.66666666669</v>
          </cell>
          <cell r="M50">
            <v>379949.33333333331</v>
          </cell>
          <cell r="N50">
            <v>12025</v>
          </cell>
          <cell r="O50">
            <v>9856</v>
          </cell>
          <cell r="P50">
            <v>11976</v>
          </cell>
          <cell r="Q50">
            <v>10037</v>
          </cell>
          <cell r="R50">
            <v>8458</v>
          </cell>
          <cell r="S50">
            <v>9735</v>
          </cell>
          <cell r="T50">
            <v>9023</v>
          </cell>
          <cell r="U50">
            <v>11285.666666666666</v>
          </cell>
          <cell r="V50">
            <v>10623</v>
          </cell>
          <cell r="W50">
            <v>10157</v>
          </cell>
          <cell r="X50">
            <v>9410</v>
          </cell>
          <cell r="Y50">
            <v>9072</v>
          </cell>
          <cell r="Z50">
            <v>19</v>
          </cell>
          <cell r="AA50">
            <v>24</v>
          </cell>
          <cell r="AB50">
            <v>20</v>
          </cell>
          <cell r="AC50">
            <v>22</v>
          </cell>
          <cell r="AD50">
            <v>37</v>
          </cell>
          <cell r="AE50">
            <v>56</v>
          </cell>
          <cell r="AF50">
            <v>60</v>
          </cell>
          <cell r="AG50">
            <v>21</v>
          </cell>
          <cell r="AH50">
            <v>22</v>
          </cell>
          <cell r="AI50">
            <v>26.333333333333332</v>
          </cell>
          <cell r="AJ50">
            <v>38.333333333333336</v>
          </cell>
          <cell r="AK50">
            <v>51</v>
          </cell>
          <cell r="AL50">
            <v>3</v>
          </cell>
          <cell r="AM50">
            <v>5.3571428571428568E-2</v>
          </cell>
          <cell r="AN50">
            <v>28.741589626960454</v>
          </cell>
          <cell r="AO50">
            <v>34.321378141767859</v>
          </cell>
          <cell r="AP50">
            <v>38.66003741262184</v>
          </cell>
          <cell r="AQ50">
            <v>42.555012398157992</v>
          </cell>
          <cell r="AR50">
            <v>41.881540270429156</v>
          </cell>
          <cell r="AS50" t="str">
            <v/>
          </cell>
          <cell r="AV50">
            <v>41.881540270429156</v>
          </cell>
        </row>
        <row r="51">
          <cell r="A51" t="str">
            <v>Orthopedic (Nonsurgical)</v>
          </cell>
          <cell r="B51">
            <v>244503</v>
          </cell>
          <cell r="C51">
            <v>285113</v>
          </cell>
          <cell r="D51">
            <v>282851</v>
          </cell>
          <cell r="E51">
            <v>289943</v>
          </cell>
          <cell r="F51">
            <v>340079</v>
          </cell>
          <cell r="G51">
            <v>338679</v>
          </cell>
          <cell r="H51">
            <v>299890</v>
          </cell>
          <cell r="I51">
            <v>270822.33333333331</v>
          </cell>
          <cell r="J51">
            <v>285969</v>
          </cell>
          <cell r="K51">
            <v>304291</v>
          </cell>
          <cell r="L51">
            <v>322900.33333333331</v>
          </cell>
          <cell r="M51">
            <v>326216</v>
          </cell>
          <cell r="N51">
            <v>5673</v>
          </cell>
          <cell r="O51">
            <v>6050</v>
          </cell>
          <cell r="P51">
            <v>6720</v>
          </cell>
          <cell r="Q51">
            <v>7615</v>
          </cell>
          <cell r="R51">
            <v>7428</v>
          </cell>
          <cell r="S51">
            <v>6585</v>
          </cell>
          <cell r="T51">
            <v>4764</v>
          </cell>
          <cell r="U51">
            <v>6147.666666666667</v>
          </cell>
          <cell r="V51">
            <v>6795</v>
          </cell>
          <cell r="W51">
            <v>7254.333333333333</v>
          </cell>
          <cell r="X51">
            <v>7209.333333333333</v>
          </cell>
          <cell r="Y51">
            <v>6259</v>
          </cell>
          <cell r="Z51">
            <v>21</v>
          </cell>
          <cell r="AA51">
            <v>20</v>
          </cell>
          <cell r="AB51">
            <v>23</v>
          </cell>
          <cell r="AC51">
            <v>24</v>
          </cell>
          <cell r="AD51">
            <v>33</v>
          </cell>
          <cell r="AE51">
            <v>26</v>
          </cell>
          <cell r="AF51">
            <v>38</v>
          </cell>
          <cell r="AG51">
            <v>21.333333333333332</v>
          </cell>
          <cell r="AH51">
            <v>22.333333333333332</v>
          </cell>
          <cell r="AI51">
            <v>26.666666666666668</v>
          </cell>
          <cell r="AJ51">
            <v>27.666666666666668</v>
          </cell>
          <cell r="AK51">
            <v>32.333333333333336</v>
          </cell>
          <cell r="AL51">
            <v>6</v>
          </cell>
          <cell r="AM51">
            <v>0.23076923076923078</v>
          </cell>
          <cell r="AN51">
            <v>44.052865585859131</v>
          </cell>
          <cell r="AO51">
            <v>42.085209713024284</v>
          </cell>
          <cell r="AP51">
            <v>41.946101180903369</v>
          </cell>
          <cell r="AQ51">
            <v>44.789208433512115</v>
          </cell>
          <cell r="AR51">
            <v>52.119507908611602</v>
          </cell>
          <cell r="AS51" t="str">
            <v/>
          </cell>
          <cell r="AV51">
            <v>52.119507908611602</v>
          </cell>
        </row>
        <row r="52">
          <cell r="A52" t="str">
            <v>Orthopedic Surgery: Foot and Ankle</v>
          </cell>
          <cell r="B52">
            <v>441501</v>
          </cell>
          <cell r="C52">
            <v>392448</v>
          </cell>
          <cell r="D52">
            <v>367635</v>
          </cell>
          <cell r="E52">
            <v>431202</v>
          </cell>
          <cell r="F52">
            <v>442289</v>
          </cell>
          <cell r="G52">
            <v>440562</v>
          </cell>
          <cell r="H52">
            <v>432536</v>
          </cell>
          <cell r="I52">
            <v>400528</v>
          </cell>
          <cell r="J52">
            <v>397095</v>
          </cell>
          <cell r="K52">
            <v>413708.66666666669</v>
          </cell>
          <cell r="L52">
            <v>438017.66666666669</v>
          </cell>
          <cell r="M52">
            <v>438462.33333333331</v>
          </cell>
          <cell r="N52">
            <v>9294</v>
          </cell>
          <cell r="O52">
            <v>9377</v>
          </cell>
          <cell r="P52">
            <v>8339</v>
          </cell>
          <cell r="Q52">
            <v>8624</v>
          </cell>
          <cell r="R52">
            <v>8220</v>
          </cell>
          <cell r="S52">
            <v>8071</v>
          </cell>
          <cell r="T52">
            <v>7685</v>
          </cell>
          <cell r="U52">
            <v>9003.3333333333339</v>
          </cell>
          <cell r="V52">
            <v>8780</v>
          </cell>
          <cell r="W52">
            <v>8394.3333333333339</v>
          </cell>
          <cell r="X52">
            <v>8305</v>
          </cell>
          <cell r="Y52">
            <v>7992</v>
          </cell>
          <cell r="Z52">
            <v>15</v>
          </cell>
          <cell r="AA52">
            <v>16</v>
          </cell>
          <cell r="AB52">
            <v>22</v>
          </cell>
          <cell r="AC52">
            <v>26</v>
          </cell>
          <cell r="AD52">
            <v>33</v>
          </cell>
          <cell r="AE52">
            <v>42</v>
          </cell>
          <cell r="AF52">
            <v>45</v>
          </cell>
          <cell r="AG52">
            <v>17.666666666666668</v>
          </cell>
          <cell r="AH52">
            <v>21.333333333333332</v>
          </cell>
          <cell r="AI52">
            <v>27</v>
          </cell>
          <cell r="AJ52">
            <v>33.666666666666664</v>
          </cell>
          <cell r="AK52">
            <v>40</v>
          </cell>
          <cell r="AL52">
            <v>1</v>
          </cell>
          <cell r="AM52">
            <v>2.3809523809523808E-2</v>
          </cell>
          <cell r="AN52">
            <v>44.48663457978526</v>
          </cell>
          <cell r="AO52">
            <v>45.227220956719819</v>
          </cell>
          <cell r="AP52">
            <v>49.284279077155226</v>
          </cell>
          <cell r="AQ52">
            <v>52.741440899056798</v>
          </cell>
          <cell r="AR52">
            <v>54.862654320987652</v>
          </cell>
          <cell r="AS52" t="str">
            <v/>
          </cell>
          <cell r="AV52">
            <v>54.862654320987652</v>
          </cell>
        </row>
        <row r="53">
          <cell r="A53" t="str">
            <v>Orthopedic Surgery: General</v>
          </cell>
          <cell r="B53">
            <v>444425</v>
          </cell>
          <cell r="C53">
            <v>407997</v>
          </cell>
          <cell r="D53">
            <v>444656</v>
          </cell>
          <cell r="E53">
            <v>660530</v>
          </cell>
          <cell r="F53">
            <v>498448</v>
          </cell>
          <cell r="G53">
            <v>517851</v>
          </cell>
          <cell r="H53">
            <v>563548</v>
          </cell>
          <cell r="I53">
            <v>432359.33333333331</v>
          </cell>
          <cell r="J53">
            <v>504394.33333333331</v>
          </cell>
          <cell r="K53">
            <v>534544.66666666663</v>
          </cell>
          <cell r="L53">
            <v>558943</v>
          </cell>
          <cell r="M53">
            <v>526615.66666666663</v>
          </cell>
          <cell r="N53">
            <v>7846</v>
          </cell>
          <cell r="O53">
            <v>8413</v>
          </cell>
          <cell r="P53">
            <v>9928</v>
          </cell>
          <cell r="Q53">
            <v>10359</v>
          </cell>
          <cell r="R53">
            <v>9107</v>
          </cell>
          <cell r="S53">
            <v>10251</v>
          </cell>
          <cell r="T53">
            <v>7404</v>
          </cell>
          <cell r="U53">
            <v>8729</v>
          </cell>
          <cell r="V53">
            <v>9566.6666666666661</v>
          </cell>
          <cell r="W53">
            <v>9798</v>
          </cell>
          <cell r="X53">
            <v>9905.6666666666661</v>
          </cell>
          <cell r="Y53">
            <v>8920.6666666666661</v>
          </cell>
          <cell r="Z53">
            <v>82</v>
          </cell>
          <cell r="AA53">
            <v>30</v>
          </cell>
          <cell r="AB53">
            <v>33</v>
          </cell>
          <cell r="AC53">
            <v>65</v>
          </cell>
          <cell r="AD53">
            <v>125</v>
          </cell>
          <cell r="AE53">
            <v>119</v>
          </cell>
          <cell r="AF53">
            <v>124</v>
          </cell>
          <cell r="AG53">
            <v>48.333333333333336</v>
          </cell>
          <cell r="AH53">
            <v>42.666666666666664</v>
          </cell>
          <cell r="AI53">
            <v>74.333333333333329</v>
          </cell>
          <cell r="AJ53">
            <v>103</v>
          </cell>
          <cell r="AK53">
            <v>122.66666666666667</v>
          </cell>
          <cell r="AL53">
            <v>0</v>
          </cell>
          <cell r="AM53">
            <v>0</v>
          </cell>
          <cell r="AN53">
            <v>49.531370527360899</v>
          </cell>
          <cell r="AO53">
            <v>52.724146341463417</v>
          </cell>
          <cell r="AP53">
            <v>54.55650813091107</v>
          </cell>
          <cell r="AQ53">
            <v>56.426590840259784</v>
          </cell>
          <cell r="AR53">
            <v>59.033218742993796</v>
          </cell>
          <cell r="AS53" t="str">
            <v/>
          </cell>
          <cell r="AV53">
            <v>59.033218742993796</v>
          </cell>
        </row>
        <row r="54">
          <cell r="A54" t="str">
            <v>Orthopedic Surgery: Hand</v>
          </cell>
          <cell r="B54">
            <v>499018</v>
          </cell>
          <cell r="C54">
            <v>527350</v>
          </cell>
          <cell r="D54">
            <v>502426</v>
          </cell>
          <cell r="E54">
            <v>545148</v>
          </cell>
          <cell r="F54">
            <v>510897</v>
          </cell>
          <cell r="G54">
            <v>499238</v>
          </cell>
          <cell r="H54">
            <v>559126</v>
          </cell>
          <cell r="I54">
            <v>509598</v>
          </cell>
          <cell r="J54">
            <v>524974.66666666663</v>
          </cell>
          <cell r="K54">
            <v>519490.33333333331</v>
          </cell>
          <cell r="L54">
            <v>518427.66666666669</v>
          </cell>
          <cell r="M54">
            <v>523087</v>
          </cell>
          <cell r="N54">
            <v>10014</v>
          </cell>
          <cell r="O54">
            <v>10485</v>
          </cell>
          <cell r="P54">
            <v>9025</v>
          </cell>
          <cell r="Q54">
            <v>9989</v>
          </cell>
          <cell r="R54">
            <v>10079</v>
          </cell>
          <cell r="S54">
            <v>9861</v>
          </cell>
          <cell r="T54">
            <v>9385</v>
          </cell>
          <cell r="U54">
            <v>9841.3333333333339</v>
          </cell>
          <cell r="V54">
            <v>9833</v>
          </cell>
          <cell r="W54">
            <v>9697.6666666666661</v>
          </cell>
          <cell r="X54">
            <v>9976.3333333333339</v>
          </cell>
          <cell r="Y54">
            <v>9775</v>
          </cell>
          <cell r="Z54">
            <v>32</v>
          </cell>
          <cell r="AA54">
            <v>24</v>
          </cell>
          <cell r="AB54">
            <v>43</v>
          </cell>
          <cell r="AC54">
            <v>48</v>
          </cell>
          <cell r="AD54">
            <v>55</v>
          </cell>
          <cell r="AE54">
            <v>62</v>
          </cell>
          <cell r="AF54">
            <v>65</v>
          </cell>
          <cell r="AG54">
            <v>33</v>
          </cell>
          <cell r="AH54">
            <v>38.333333333333336</v>
          </cell>
          <cell r="AI54">
            <v>48.666666666666664</v>
          </cell>
          <cell r="AJ54">
            <v>55</v>
          </cell>
          <cell r="AK54">
            <v>60.666666666666664</v>
          </cell>
          <cell r="AL54">
            <v>3</v>
          </cell>
          <cell r="AM54">
            <v>4.8387096774193547E-2</v>
          </cell>
          <cell r="AN54">
            <v>51.781398184527838</v>
          </cell>
          <cell r="AO54">
            <v>53.389064036069016</v>
          </cell>
          <cell r="AP54">
            <v>53.568590382566256</v>
          </cell>
          <cell r="AQ54">
            <v>51.965752280396941</v>
          </cell>
          <cell r="AR54">
            <v>53.512736572890027</v>
          </cell>
          <cell r="AS54" t="str">
            <v/>
          </cell>
          <cell r="AV54">
            <v>53.512736572890027</v>
          </cell>
        </row>
        <row r="55">
          <cell r="A55" t="str">
            <v>Orthopedic Surgery: Hip and Joint</v>
          </cell>
          <cell r="B55">
            <v>512952</v>
          </cell>
          <cell r="C55">
            <v>548288</v>
          </cell>
          <cell r="D55">
            <v>525000</v>
          </cell>
          <cell r="E55">
            <v>533625</v>
          </cell>
          <cell r="F55">
            <v>496368</v>
          </cell>
          <cell r="G55">
            <v>583033</v>
          </cell>
          <cell r="H55">
            <v>540350</v>
          </cell>
          <cell r="I55">
            <v>528746.66666666663</v>
          </cell>
          <cell r="J55">
            <v>535637.66666666663</v>
          </cell>
          <cell r="K55">
            <v>518331</v>
          </cell>
          <cell r="L55">
            <v>537675.33333333337</v>
          </cell>
          <cell r="M55">
            <v>539917</v>
          </cell>
          <cell r="N55">
            <v>9738</v>
          </cell>
          <cell r="O55">
            <v>12613</v>
          </cell>
          <cell r="P55">
            <v>11097</v>
          </cell>
          <cell r="Q55">
            <v>10568</v>
          </cell>
          <cell r="R55">
            <v>10438</v>
          </cell>
          <cell r="S55">
            <v>10339</v>
          </cell>
          <cell r="T55">
            <v>9626</v>
          </cell>
          <cell r="U55">
            <v>11149.333333333334</v>
          </cell>
          <cell r="V55">
            <v>11426</v>
          </cell>
          <cell r="W55">
            <v>10701</v>
          </cell>
          <cell r="X55">
            <v>10448.333333333334</v>
          </cell>
          <cell r="Y55">
            <v>10134.333333333334</v>
          </cell>
          <cell r="Z55">
            <v>36</v>
          </cell>
          <cell r="AA55">
            <v>27</v>
          </cell>
          <cell r="AB55">
            <v>35</v>
          </cell>
          <cell r="AC55">
            <v>45</v>
          </cell>
          <cell r="AD55">
            <v>44</v>
          </cell>
          <cell r="AE55">
            <v>55</v>
          </cell>
          <cell r="AF55">
            <v>66</v>
          </cell>
          <cell r="AG55">
            <v>32.666666666666664</v>
          </cell>
          <cell r="AH55">
            <v>35.666666666666664</v>
          </cell>
          <cell r="AI55">
            <v>41.333333333333336</v>
          </cell>
          <cell r="AJ55">
            <v>48</v>
          </cell>
          <cell r="AK55">
            <v>55</v>
          </cell>
          <cell r="AL55">
            <v>1</v>
          </cell>
          <cell r="AM55">
            <v>1.8181818181818181E-2</v>
          </cell>
          <cell r="AN55">
            <v>47.424061229370956</v>
          </cell>
          <cell r="AO55">
            <v>46.878843573137289</v>
          </cell>
          <cell r="AP55">
            <v>48.437622652088592</v>
          </cell>
          <cell r="AQ55">
            <v>51.460392407082473</v>
          </cell>
          <cell r="AR55">
            <v>53.276025392231027</v>
          </cell>
          <cell r="AS55" t="str">
            <v/>
          </cell>
          <cell r="AV55">
            <v>53.276025392231027</v>
          </cell>
        </row>
        <row r="56">
          <cell r="A56" t="str">
            <v>Orthopedic Surgery: Oncology</v>
          </cell>
          <cell r="B56">
            <v>500756</v>
          </cell>
          <cell r="C56">
            <v>439454</v>
          </cell>
          <cell r="D56">
            <v>498319</v>
          </cell>
          <cell r="E56">
            <v>444239</v>
          </cell>
          <cell r="F56">
            <v>454405</v>
          </cell>
          <cell r="G56">
            <v>450684</v>
          </cell>
          <cell r="H56">
            <v>542227</v>
          </cell>
          <cell r="I56">
            <v>479509.66666666669</v>
          </cell>
          <cell r="J56">
            <v>460670.66666666669</v>
          </cell>
          <cell r="K56">
            <v>465654.33333333331</v>
          </cell>
          <cell r="L56">
            <v>449776</v>
          </cell>
          <cell r="M56">
            <v>482438.66666666669</v>
          </cell>
          <cell r="N56">
            <v>8834</v>
          </cell>
          <cell r="O56">
            <v>8609</v>
          </cell>
          <cell r="P56">
            <v>6956</v>
          </cell>
          <cell r="Q56">
            <v>8382</v>
          </cell>
          <cell r="R56">
            <v>7938</v>
          </cell>
          <cell r="S56">
            <v>7547</v>
          </cell>
          <cell r="T56">
            <v>8112</v>
          </cell>
          <cell r="U56">
            <v>8133</v>
          </cell>
          <cell r="V56">
            <v>7982.333333333333</v>
          </cell>
          <cell r="W56">
            <v>7758.666666666667</v>
          </cell>
          <cell r="X56">
            <v>7955.666666666667</v>
          </cell>
          <cell r="Y56">
            <v>7865.666666666667</v>
          </cell>
          <cell r="Z56">
            <v>20</v>
          </cell>
          <cell r="AA56">
            <v>10</v>
          </cell>
          <cell r="AB56">
            <v>10</v>
          </cell>
          <cell r="AC56">
            <v>14</v>
          </cell>
          <cell r="AD56">
            <v>16</v>
          </cell>
          <cell r="AE56">
            <v>19</v>
          </cell>
          <cell r="AF56">
            <v>20</v>
          </cell>
          <cell r="AG56">
            <v>13.333333333333334</v>
          </cell>
          <cell r="AH56">
            <v>11.333333333333334</v>
          </cell>
          <cell r="AI56">
            <v>13.333333333333334</v>
          </cell>
          <cell r="AJ56">
            <v>16.333333333333332</v>
          </cell>
          <cell r="AK56">
            <v>18.333333333333332</v>
          </cell>
          <cell r="AL56">
            <v>1</v>
          </cell>
          <cell r="AM56">
            <v>5.2631578947368418E-2</v>
          </cell>
          <cell r="AN56">
            <v>58.958522890282389</v>
          </cell>
          <cell r="AO56">
            <v>57.711279074623128</v>
          </cell>
          <cell r="AP56">
            <v>60.01731397147276</v>
          </cell>
          <cell r="AQ56">
            <v>56.535299786315832</v>
          </cell>
          <cell r="AR56">
            <v>61.334745942280797</v>
          </cell>
          <cell r="AS56" t="str">
            <v/>
          </cell>
          <cell r="AV56">
            <v>61.334745942280797</v>
          </cell>
        </row>
        <row r="57">
          <cell r="A57" t="str">
            <v>Orthopedic Surgery: Shoulder/Elbow</v>
          </cell>
          <cell r="B57">
            <v>489375</v>
          </cell>
          <cell r="C57" t="str">
            <v>*</v>
          </cell>
          <cell r="D57" t="str">
            <v>*</v>
          </cell>
          <cell r="E57">
            <v>554656</v>
          </cell>
          <cell r="F57">
            <v>516069</v>
          </cell>
          <cell r="G57">
            <v>717976</v>
          </cell>
          <cell r="H57">
            <v>492066</v>
          </cell>
          <cell r="I57">
            <v>489375</v>
          </cell>
          <cell r="J57">
            <v>554656</v>
          </cell>
          <cell r="K57">
            <v>535362.5</v>
          </cell>
          <cell r="L57">
            <v>596233.66666666663</v>
          </cell>
          <cell r="M57">
            <v>575370.33333333337</v>
          </cell>
          <cell r="N57" t="str">
            <v>*</v>
          </cell>
          <cell r="O57" t="str">
            <v>*</v>
          </cell>
          <cell r="P57" t="str">
            <v>*</v>
          </cell>
          <cell r="Q57">
            <v>11294</v>
          </cell>
          <cell r="R57">
            <v>10226</v>
          </cell>
          <cell r="S57">
            <v>12175</v>
          </cell>
          <cell r="T57">
            <v>10540</v>
          </cell>
          <cell r="U57" t="str">
            <v>*</v>
          </cell>
          <cell r="V57">
            <v>11294</v>
          </cell>
          <cell r="W57">
            <v>10760</v>
          </cell>
          <cell r="X57">
            <v>11231.666666666666</v>
          </cell>
          <cell r="Y57">
            <v>10980.333333333334</v>
          </cell>
          <cell r="Z57">
            <v>9</v>
          </cell>
          <cell r="AA57">
            <v>6</v>
          </cell>
          <cell r="AB57">
            <v>7</v>
          </cell>
          <cell r="AC57">
            <v>11</v>
          </cell>
          <cell r="AD57">
            <v>14</v>
          </cell>
          <cell r="AE57">
            <v>11</v>
          </cell>
          <cell r="AF57">
            <v>11</v>
          </cell>
          <cell r="AG57">
            <v>7.333333333333333</v>
          </cell>
          <cell r="AH57">
            <v>8</v>
          </cell>
          <cell r="AI57">
            <v>10.666666666666666</v>
          </cell>
          <cell r="AJ57">
            <v>12</v>
          </cell>
          <cell r="AK57">
            <v>12</v>
          </cell>
          <cell r="AL57">
            <v>0</v>
          </cell>
          <cell r="AM57">
            <v>0</v>
          </cell>
          <cell r="AN57" t="str">
            <v>*</v>
          </cell>
          <cell r="AO57">
            <v>49.110678236231628</v>
          </cell>
          <cell r="AP57">
            <v>49.754879182156131</v>
          </cell>
          <cell r="AQ57">
            <v>53.085057130138004</v>
          </cell>
          <cell r="AR57">
            <v>52.400078928994262</v>
          </cell>
          <cell r="AS57" t="str">
            <v>Low N</v>
          </cell>
          <cell r="AT57" t="str">
            <v>Orthopedic Surgery: General</v>
          </cell>
          <cell r="AU57">
            <v>59.033218742993796</v>
          </cell>
          <cell r="AV57">
            <v>59.033218742993796</v>
          </cell>
        </row>
        <row r="58">
          <cell r="A58" t="str">
            <v>Orthopedic Surgery: Spine</v>
          </cell>
          <cell r="B58">
            <v>600642</v>
          </cell>
          <cell r="C58">
            <v>610000</v>
          </cell>
          <cell r="D58">
            <v>734127</v>
          </cell>
          <cell r="E58">
            <v>761702</v>
          </cell>
          <cell r="F58">
            <v>670584</v>
          </cell>
          <cell r="G58">
            <v>759371</v>
          </cell>
          <cell r="H58">
            <v>780409</v>
          </cell>
          <cell r="I58">
            <v>648256.33333333337</v>
          </cell>
          <cell r="J58">
            <v>701943</v>
          </cell>
          <cell r="K58">
            <v>722137.66666666663</v>
          </cell>
          <cell r="L58">
            <v>730552.33333333337</v>
          </cell>
          <cell r="M58">
            <v>736788</v>
          </cell>
          <cell r="N58">
            <v>12192</v>
          </cell>
          <cell r="O58">
            <v>15525</v>
          </cell>
          <cell r="P58">
            <v>14035</v>
          </cell>
          <cell r="Q58">
            <v>12555</v>
          </cell>
          <cell r="R58">
            <v>11465</v>
          </cell>
          <cell r="S58">
            <v>12201</v>
          </cell>
          <cell r="T58">
            <v>12950</v>
          </cell>
          <cell r="U58">
            <v>13917.333333333334</v>
          </cell>
          <cell r="V58">
            <v>14038.333333333334</v>
          </cell>
          <cell r="W58">
            <v>12685</v>
          </cell>
          <cell r="X58">
            <v>12073.666666666666</v>
          </cell>
          <cell r="Y58">
            <v>12205.333333333334</v>
          </cell>
          <cell r="Z58">
            <v>33</v>
          </cell>
          <cell r="AA58">
            <v>26</v>
          </cell>
          <cell r="AB58">
            <v>31</v>
          </cell>
          <cell r="AC58">
            <v>47</v>
          </cell>
          <cell r="AD58">
            <v>41</v>
          </cell>
          <cell r="AE58">
            <v>40</v>
          </cell>
          <cell r="AF58">
            <v>49</v>
          </cell>
          <cell r="AG58">
            <v>30</v>
          </cell>
          <cell r="AH58">
            <v>34.666666666666664</v>
          </cell>
          <cell r="AI58">
            <v>39.666666666666664</v>
          </cell>
          <cell r="AJ58">
            <v>42.666666666666664</v>
          </cell>
          <cell r="AK58">
            <v>43.333333333333336</v>
          </cell>
          <cell r="AL58">
            <v>1</v>
          </cell>
          <cell r="AM58">
            <v>2.5000000000000001E-2</v>
          </cell>
          <cell r="AN58">
            <v>46.579062080858399</v>
          </cell>
          <cell r="AO58">
            <v>50.001875816217499</v>
          </cell>
          <cell r="AP58">
            <v>56.928471948495599</v>
          </cell>
          <cell r="AQ58">
            <v>60.507909776096746</v>
          </cell>
          <cell r="AR58">
            <v>60.366069477823899</v>
          </cell>
          <cell r="AS58" t="str">
            <v/>
          </cell>
          <cell r="AV58">
            <v>60.366069477823899</v>
          </cell>
        </row>
        <row r="59">
          <cell r="A59" t="str">
            <v>Orthopedic Surgery: Sports Medicine</v>
          </cell>
          <cell r="B59">
            <v>503762</v>
          </cell>
          <cell r="C59">
            <v>495552</v>
          </cell>
          <cell r="D59">
            <v>491719</v>
          </cell>
          <cell r="E59">
            <v>521241</v>
          </cell>
          <cell r="F59">
            <v>543077</v>
          </cell>
          <cell r="G59">
            <v>572987</v>
          </cell>
          <cell r="H59">
            <v>651556</v>
          </cell>
          <cell r="I59">
            <v>497011</v>
          </cell>
          <cell r="J59">
            <v>502837.33333333331</v>
          </cell>
          <cell r="K59">
            <v>518679</v>
          </cell>
          <cell r="L59">
            <v>545768.33333333337</v>
          </cell>
          <cell r="M59">
            <v>589206.66666666663</v>
          </cell>
          <cell r="N59">
            <v>8760</v>
          </cell>
          <cell r="O59">
            <v>10107</v>
          </cell>
          <cell r="P59">
            <v>8341</v>
          </cell>
          <cell r="Q59">
            <v>8831</v>
          </cell>
          <cell r="R59">
            <v>8716</v>
          </cell>
          <cell r="S59">
            <v>9248</v>
          </cell>
          <cell r="T59">
            <v>9192</v>
          </cell>
          <cell r="U59">
            <v>9069.3333333333339</v>
          </cell>
          <cell r="V59">
            <v>9093</v>
          </cell>
          <cell r="W59">
            <v>8629.3333333333339</v>
          </cell>
          <cell r="X59">
            <v>8931.6666666666661</v>
          </cell>
          <cell r="Y59">
            <v>9052</v>
          </cell>
          <cell r="Z59">
            <v>54</v>
          </cell>
          <cell r="AA59">
            <v>36</v>
          </cell>
          <cell r="AB59">
            <v>52</v>
          </cell>
          <cell r="AC59">
            <v>64</v>
          </cell>
          <cell r="AD59">
            <v>81</v>
          </cell>
          <cell r="AE59">
            <v>103</v>
          </cell>
          <cell r="AF59">
            <v>107</v>
          </cell>
          <cell r="AG59">
            <v>47.333333333333336</v>
          </cell>
          <cell r="AH59">
            <v>50.666666666666664</v>
          </cell>
          <cell r="AI59">
            <v>65.666666666666671</v>
          </cell>
          <cell r="AJ59">
            <v>82.666666666666671</v>
          </cell>
          <cell r="AK59">
            <v>97</v>
          </cell>
          <cell r="AL59">
            <v>3</v>
          </cell>
          <cell r="AM59">
            <v>2.9126213592233011E-2</v>
          </cell>
          <cell r="AN59">
            <v>54.801271684798586</v>
          </cell>
          <cell r="AO59">
            <v>55.299387807470943</v>
          </cell>
          <cell r="AP59">
            <v>60.106497218788626</v>
          </cell>
          <cell r="AQ59">
            <v>61.104870311625312</v>
          </cell>
          <cell r="AR59">
            <v>65.091324200913235</v>
          </cell>
          <cell r="AS59" t="str">
            <v/>
          </cell>
          <cell r="AV59">
            <v>65.091324200913235</v>
          </cell>
        </row>
        <row r="60">
          <cell r="A60" t="str">
            <v>Orthopedic Surgery: Trauma</v>
          </cell>
          <cell r="B60">
            <v>533363</v>
          </cell>
          <cell r="C60">
            <v>565000</v>
          </cell>
          <cell r="D60">
            <v>527836</v>
          </cell>
          <cell r="E60">
            <v>541329</v>
          </cell>
          <cell r="F60">
            <v>599625</v>
          </cell>
          <cell r="G60">
            <v>626270</v>
          </cell>
          <cell r="H60">
            <v>660412</v>
          </cell>
          <cell r="I60">
            <v>542066.33333333337</v>
          </cell>
          <cell r="J60">
            <v>544721.66666666663</v>
          </cell>
          <cell r="K60">
            <v>556263.33333333337</v>
          </cell>
          <cell r="L60">
            <v>589074.66666666663</v>
          </cell>
          <cell r="M60">
            <v>628769</v>
          </cell>
          <cell r="N60">
            <v>10466</v>
          </cell>
          <cell r="O60">
            <v>9828</v>
          </cell>
          <cell r="P60">
            <v>9354</v>
          </cell>
          <cell r="Q60">
            <v>9550</v>
          </cell>
          <cell r="R60">
            <v>8353</v>
          </cell>
          <cell r="S60">
            <v>9831</v>
          </cell>
          <cell r="T60">
            <v>9300</v>
          </cell>
          <cell r="U60">
            <v>9882.6666666666661</v>
          </cell>
          <cell r="V60">
            <v>9577.3333333333339</v>
          </cell>
          <cell r="W60">
            <v>9085.6666666666661</v>
          </cell>
          <cell r="X60">
            <v>9244.6666666666661</v>
          </cell>
          <cell r="Y60">
            <v>9161.3333333333339</v>
          </cell>
          <cell r="Z60">
            <v>35</v>
          </cell>
          <cell r="AA60">
            <v>41</v>
          </cell>
          <cell r="AB60">
            <v>46</v>
          </cell>
          <cell r="AC60">
            <v>57</v>
          </cell>
          <cell r="AD60">
            <v>40</v>
          </cell>
          <cell r="AE60">
            <v>55</v>
          </cell>
          <cell r="AF60">
            <v>52</v>
          </cell>
          <cell r="AG60">
            <v>40.666666666666664</v>
          </cell>
          <cell r="AH60">
            <v>48</v>
          </cell>
          <cell r="AI60">
            <v>47.666666666666664</v>
          </cell>
          <cell r="AJ60">
            <v>50.666666666666664</v>
          </cell>
          <cell r="AK60">
            <v>49</v>
          </cell>
          <cell r="AL60">
            <v>2</v>
          </cell>
          <cell r="AM60">
            <v>3.6363636363636362E-2</v>
          </cell>
          <cell r="AN60">
            <v>54.85020912034539</v>
          </cell>
          <cell r="AO60">
            <v>56.876131142976462</v>
          </cell>
          <cell r="AP60">
            <v>61.224272663902859</v>
          </cell>
          <cell r="AQ60">
            <v>63.720487488281535</v>
          </cell>
          <cell r="AR60">
            <v>68.632913695240859</v>
          </cell>
          <cell r="AS60" t="str">
            <v/>
          </cell>
          <cell r="AV60">
            <v>68.632913695240859</v>
          </cell>
        </row>
        <row r="61">
          <cell r="A61" t="str">
            <v>Otorhinolaryngology</v>
          </cell>
          <cell r="B61">
            <v>333971</v>
          </cell>
          <cell r="C61">
            <v>337776</v>
          </cell>
          <cell r="D61">
            <v>350576</v>
          </cell>
          <cell r="E61">
            <v>403584</v>
          </cell>
          <cell r="F61">
            <v>379600</v>
          </cell>
          <cell r="G61">
            <v>377700</v>
          </cell>
          <cell r="H61">
            <v>383000</v>
          </cell>
          <cell r="I61">
            <v>340774.33333333331</v>
          </cell>
          <cell r="J61">
            <v>363978.66666666669</v>
          </cell>
          <cell r="K61">
            <v>377920</v>
          </cell>
          <cell r="L61">
            <v>386961.33333333331</v>
          </cell>
          <cell r="M61">
            <v>380100</v>
          </cell>
          <cell r="N61">
            <v>7604</v>
          </cell>
          <cell r="O61">
            <v>8990</v>
          </cell>
          <cell r="P61">
            <v>7533</v>
          </cell>
          <cell r="Q61">
            <v>7568</v>
          </cell>
          <cell r="R61">
            <v>7844</v>
          </cell>
          <cell r="S61">
            <v>7995</v>
          </cell>
          <cell r="T61">
            <v>7116</v>
          </cell>
          <cell r="U61">
            <v>8042.333333333333</v>
          </cell>
          <cell r="V61">
            <v>8030.333333333333</v>
          </cell>
          <cell r="W61">
            <v>7648.333333333333</v>
          </cell>
          <cell r="X61">
            <v>7802.333333333333</v>
          </cell>
          <cell r="Y61">
            <v>7651.666666666667</v>
          </cell>
          <cell r="Z61">
            <v>86</v>
          </cell>
          <cell r="AA61">
            <v>92</v>
          </cell>
          <cell r="AB61">
            <v>131</v>
          </cell>
          <cell r="AC61">
            <v>140</v>
          </cell>
          <cell r="AD61">
            <v>170</v>
          </cell>
          <cell r="AE61">
            <v>235</v>
          </cell>
          <cell r="AF61">
            <v>270</v>
          </cell>
          <cell r="AG61">
            <v>103</v>
          </cell>
          <cell r="AH61">
            <v>121</v>
          </cell>
          <cell r="AI61">
            <v>147</v>
          </cell>
          <cell r="AJ61">
            <v>181.66666666666666</v>
          </cell>
          <cell r="AK61">
            <v>225</v>
          </cell>
          <cell r="AL61">
            <v>16</v>
          </cell>
          <cell r="AM61">
            <v>6.8085106382978725E-2</v>
          </cell>
          <cell r="AN61">
            <v>42.372570149624899</v>
          </cell>
          <cell r="AO61">
            <v>45.325474243493424</v>
          </cell>
          <cell r="AP61">
            <v>49.412072346916538</v>
          </cell>
          <cell r="AQ61">
            <v>49.59559106250267</v>
          </cell>
          <cell r="AR61">
            <v>49.675451971248094</v>
          </cell>
          <cell r="AS61" t="str">
            <v/>
          </cell>
          <cell r="AV61">
            <v>49.675451971248094</v>
          </cell>
        </row>
        <row r="62">
          <cell r="A62" t="str">
            <v>Pain Management: Nonanesthesia</v>
          </cell>
          <cell r="B62" t="str">
            <v>*</v>
          </cell>
          <cell r="C62" t="str">
            <v>*</v>
          </cell>
          <cell r="D62" t="str">
            <v>*</v>
          </cell>
          <cell r="E62">
            <v>323106</v>
          </cell>
          <cell r="F62">
            <v>379780</v>
          </cell>
          <cell r="G62">
            <v>406371</v>
          </cell>
          <cell r="H62">
            <v>432109</v>
          </cell>
          <cell r="I62" t="str">
            <v>*</v>
          </cell>
          <cell r="J62" t="str">
            <v>*</v>
          </cell>
          <cell r="K62">
            <v>351443</v>
          </cell>
          <cell r="L62">
            <v>369752.33333333331</v>
          </cell>
          <cell r="M62">
            <v>406086.66666666669</v>
          </cell>
          <cell r="N62" t="str">
            <v>*</v>
          </cell>
          <cell r="O62" t="str">
            <v>*</v>
          </cell>
          <cell r="P62" t="str">
            <v>*</v>
          </cell>
          <cell r="Q62" t="str">
            <v>*</v>
          </cell>
          <cell r="R62">
            <v>3191</v>
          </cell>
          <cell r="S62">
            <v>4990</v>
          </cell>
          <cell r="T62">
            <v>7516</v>
          </cell>
          <cell r="U62" t="str">
            <v>*</v>
          </cell>
          <cell r="V62" t="str">
            <v>*</v>
          </cell>
          <cell r="W62">
            <v>3191</v>
          </cell>
          <cell r="X62">
            <v>4090.5</v>
          </cell>
          <cell r="Y62">
            <v>5232.333333333333</v>
          </cell>
          <cell r="Z62" t="str">
            <v>*</v>
          </cell>
          <cell r="AA62" t="str">
            <v>*</v>
          </cell>
          <cell r="AB62" t="str">
            <v>*</v>
          </cell>
          <cell r="AC62">
            <v>9</v>
          </cell>
          <cell r="AD62">
            <v>15</v>
          </cell>
          <cell r="AE62">
            <v>28</v>
          </cell>
          <cell r="AF62">
            <v>15</v>
          </cell>
          <cell r="AG62" t="str">
            <v>*</v>
          </cell>
          <cell r="AH62" t="str">
            <v>*</v>
          </cell>
          <cell r="AI62">
            <v>12</v>
          </cell>
          <cell r="AJ62">
            <v>17.333333333333332</v>
          </cell>
          <cell r="AK62">
            <v>19.333333333333332</v>
          </cell>
          <cell r="AL62">
            <v>0</v>
          </cell>
          <cell r="AM62">
            <v>0</v>
          </cell>
          <cell r="AN62" t="str">
            <v>*</v>
          </cell>
          <cell r="AO62" t="str">
            <v>*</v>
          </cell>
          <cell r="AP62">
            <v>110.13569413976809</v>
          </cell>
          <cell r="AQ62">
            <v>90.392942998003505</v>
          </cell>
          <cell r="AR62">
            <v>77.611008472956627</v>
          </cell>
          <cell r="AS62" t="str">
            <v/>
          </cell>
          <cell r="AV62">
            <v>77.611008472956627</v>
          </cell>
        </row>
        <row r="63">
          <cell r="A63" t="str">
            <v>Pathology: Anatomic</v>
          </cell>
          <cell r="B63">
            <v>259395</v>
          </cell>
          <cell r="C63">
            <v>226639</v>
          </cell>
          <cell r="D63">
            <v>226358</v>
          </cell>
          <cell r="E63">
            <v>253087</v>
          </cell>
          <cell r="F63">
            <v>260499</v>
          </cell>
          <cell r="G63">
            <v>258796</v>
          </cell>
          <cell r="H63">
            <v>262926</v>
          </cell>
          <cell r="I63">
            <v>237464</v>
          </cell>
          <cell r="J63">
            <v>235361.33333333334</v>
          </cell>
          <cell r="K63">
            <v>246648</v>
          </cell>
          <cell r="L63">
            <v>257460.66666666666</v>
          </cell>
          <cell r="M63">
            <v>260740.33333333334</v>
          </cell>
          <cell r="N63">
            <v>6466</v>
          </cell>
          <cell r="O63">
            <v>7134</v>
          </cell>
          <cell r="P63">
            <v>6070</v>
          </cell>
          <cell r="Q63">
            <v>6919</v>
          </cell>
          <cell r="R63">
            <v>6023</v>
          </cell>
          <cell r="S63">
            <v>6693</v>
          </cell>
          <cell r="T63">
            <v>6664</v>
          </cell>
          <cell r="U63">
            <v>6556.666666666667</v>
          </cell>
          <cell r="V63">
            <v>6707.666666666667</v>
          </cell>
          <cell r="W63">
            <v>6337.333333333333</v>
          </cell>
          <cell r="X63">
            <v>6545</v>
          </cell>
          <cell r="Y63">
            <v>6460</v>
          </cell>
          <cell r="Z63">
            <v>123</v>
          </cell>
          <cell r="AA63">
            <v>46</v>
          </cell>
          <cell r="AB63">
            <v>69</v>
          </cell>
          <cell r="AC63">
            <v>70</v>
          </cell>
          <cell r="AD63">
            <v>127</v>
          </cell>
          <cell r="AE63">
            <v>198</v>
          </cell>
          <cell r="AF63">
            <v>196</v>
          </cell>
          <cell r="AG63">
            <v>79.333333333333329</v>
          </cell>
          <cell r="AH63">
            <v>61.666666666666664</v>
          </cell>
          <cell r="AI63">
            <v>88.666666666666671</v>
          </cell>
          <cell r="AJ63">
            <v>131.66666666666666</v>
          </cell>
          <cell r="AK63">
            <v>173.66666666666666</v>
          </cell>
          <cell r="AL63">
            <v>14</v>
          </cell>
          <cell r="AM63">
            <v>7.0707070707070704E-2</v>
          </cell>
          <cell r="AN63">
            <v>36.217183528215557</v>
          </cell>
          <cell r="AO63">
            <v>35.088406301247332</v>
          </cell>
          <cell r="AP63">
            <v>38.91984010098885</v>
          </cell>
          <cell r="AQ63">
            <v>39.337000254647315</v>
          </cell>
          <cell r="AR63">
            <v>40.362280701754386</v>
          </cell>
          <cell r="AS63" t="str">
            <v/>
          </cell>
          <cell r="AV63">
            <v>40.362280701754386</v>
          </cell>
        </row>
        <row r="64">
          <cell r="A64" t="str">
            <v>Pathology: Anatomic and Clinical</v>
          </cell>
          <cell r="B64">
            <v>231820</v>
          </cell>
          <cell r="C64">
            <v>265159</v>
          </cell>
          <cell r="D64">
            <v>242785</v>
          </cell>
          <cell r="E64">
            <v>410175</v>
          </cell>
          <cell r="F64">
            <v>270459</v>
          </cell>
          <cell r="G64">
            <v>266977</v>
          </cell>
          <cell r="H64">
            <v>268891</v>
          </cell>
          <cell r="I64">
            <v>246588</v>
          </cell>
          <cell r="J64">
            <v>306039.66666666669</v>
          </cell>
          <cell r="K64">
            <v>307806.33333333331</v>
          </cell>
          <cell r="L64">
            <v>315870.33333333331</v>
          </cell>
          <cell r="M64">
            <v>268775.66666666669</v>
          </cell>
          <cell r="N64">
            <v>5808</v>
          </cell>
          <cell r="O64">
            <v>6269</v>
          </cell>
          <cell r="P64">
            <v>7163</v>
          </cell>
          <cell r="Q64">
            <v>6287</v>
          </cell>
          <cell r="R64">
            <v>6243</v>
          </cell>
          <cell r="S64">
            <v>6790</v>
          </cell>
          <cell r="T64">
            <v>5783</v>
          </cell>
          <cell r="U64">
            <v>6413.333333333333</v>
          </cell>
          <cell r="V64">
            <v>6573</v>
          </cell>
          <cell r="W64">
            <v>6564.333333333333</v>
          </cell>
          <cell r="X64">
            <v>6440</v>
          </cell>
          <cell r="Y64">
            <v>6272</v>
          </cell>
          <cell r="Z64">
            <v>31</v>
          </cell>
          <cell r="AA64">
            <v>43</v>
          </cell>
          <cell r="AB64">
            <v>69</v>
          </cell>
          <cell r="AC64">
            <v>50</v>
          </cell>
          <cell r="AD64">
            <v>20</v>
          </cell>
          <cell r="AE64">
            <v>46</v>
          </cell>
          <cell r="AF64">
            <v>88</v>
          </cell>
          <cell r="AG64">
            <v>47.666666666666664</v>
          </cell>
          <cell r="AH64">
            <v>54</v>
          </cell>
          <cell r="AI64">
            <v>46.333333333333336</v>
          </cell>
          <cell r="AJ64">
            <v>38.666666666666664</v>
          </cell>
          <cell r="AK64">
            <v>51.333333333333336</v>
          </cell>
          <cell r="AL64">
            <v>0</v>
          </cell>
          <cell r="AM64">
            <v>0</v>
          </cell>
          <cell r="AN64">
            <v>38.449272349272348</v>
          </cell>
          <cell r="AO64">
            <v>46.560119681525435</v>
          </cell>
          <cell r="AP64">
            <v>46.890722591783884</v>
          </cell>
          <cell r="AQ64">
            <v>49.048188405797099</v>
          </cell>
          <cell r="AR64">
            <v>42.853263180272108</v>
          </cell>
          <cell r="AV64">
            <v>42.853263180272108</v>
          </cell>
        </row>
        <row r="65">
          <cell r="A65" t="str">
            <v>Pathology: Anatomic-Autopsy</v>
          </cell>
          <cell r="B65">
            <v>199991</v>
          </cell>
          <cell r="C65" t="str">
            <v>*</v>
          </cell>
          <cell r="D65" t="str">
            <v>*</v>
          </cell>
          <cell r="E65" t="str">
            <v>*</v>
          </cell>
          <cell r="F65" t="str">
            <v>*</v>
          </cell>
          <cell r="G65" t="str">
            <v>*</v>
          </cell>
          <cell r="H65" t="str">
            <v>*</v>
          </cell>
          <cell r="I65">
            <v>199991</v>
          </cell>
          <cell r="J65" t="str">
            <v>*</v>
          </cell>
          <cell r="K65" t="str">
            <v>*</v>
          </cell>
          <cell r="L65" t="str">
            <v>*</v>
          </cell>
          <cell r="M65" t="str">
            <v>*</v>
          </cell>
          <cell r="N65" t="str">
            <v>*</v>
          </cell>
          <cell r="O65" t="str">
            <v>*</v>
          </cell>
          <cell r="P65" t="str">
            <v>*</v>
          </cell>
          <cell r="Q65" t="str">
            <v>*</v>
          </cell>
          <cell r="R65" t="str">
            <v>*</v>
          </cell>
          <cell r="S65" t="e">
            <v>#N/A</v>
          </cell>
          <cell r="T65" t="e">
            <v>#N/A</v>
          </cell>
          <cell r="U65" t="str">
            <v>*</v>
          </cell>
          <cell r="V65" t="str">
            <v>*</v>
          </cell>
          <cell r="W65" t="str">
            <v>*</v>
          </cell>
          <cell r="X65" t="str">
            <v>*</v>
          </cell>
          <cell r="Y65" t="str">
            <v>*</v>
          </cell>
          <cell r="Z65">
            <v>3</v>
          </cell>
          <cell r="AA65">
            <v>2</v>
          </cell>
          <cell r="AB65">
            <v>0</v>
          </cell>
          <cell r="AC65">
            <v>0</v>
          </cell>
          <cell r="AD65">
            <v>2</v>
          </cell>
          <cell r="AE65" t="e">
            <v>#N/A</v>
          </cell>
          <cell r="AF65" t="str">
            <v>*</v>
          </cell>
          <cell r="AG65">
            <v>1.6666666666666667</v>
          </cell>
          <cell r="AH65">
            <v>0.66666666666666663</v>
          </cell>
          <cell r="AI65">
            <v>0.66666666666666663</v>
          </cell>
          <cell r="AJ65" t="str">
            <v>*</v>
          </cell>
          <cell r="AK65" t="str">
            <v>*</v>
          </cell>
          <cell r="AL65">
            <v>0</v>
          </cell>
          <cell r="AM65">
            <v>0</v>
          </cell>
          <cell r="AN65" t="str">
            <v>*</v>
          </cell>
          <cell r="AO65" t="str">
            <v>*</v>
          </cell>
          <cell r="AP65" t="str">
            <v>*</v>
          </cell>
          <cell r="AQ65" t="str">
            <v>*</v>
          </cell>
          <cell r="AR65" t="str">
            <v>*</v>
          </cell>
          <cell r="AS65" t="str">
            <v/>
          </cell>
          <cell r="AT65" t="str">
            <v>Pathology: Anatomic</v>
          </cell>
          <cell r="AU65">
            <v>40.362280701754386</v>
          </cell>
          <cell r="AV65" t="str">
            <v>*</v>
          </cell>
        </row>
        <row r="66">
          <cell r="A66" t="str">
            <v>Pathology: Anatomic-Cytopathology</v>
          </cell>
          <cell r="B66">
            <v>253427</v>
          </cell>
          <cell r="C66">
            <v>258692</v>
          </cell>
          <cell r="D66" t="str">
            <v>*</v>
          </cell>
          <cell r="E66">
            <v>259970</v>
          </cell>
          <cell r="F66">
            <v>268842</v>
          </cell>
          <cell r="G66" t="str">
            <v>*</v>
          </cell>
          <cell r="H66">
            <v>275735</v>
          </cell>
          <cell r="I66">
            <v>256059.5</v>
          </cell>
          <cell r="J66">
            <v>259331</v>
          </cell>
          <cell r="K66">
            <v>264406</v>
          </cell>
          <cell r="L66">
            <v>264406</v>
          </cell>
          <cell r="M66">
            <v>272288.5</v>
          </cell>
          <cell r="N66" t="str">
            <v>*</v>
          </cell>
          <cell r="O66">
            <v>5786</v>
          </cell>
          <cell r="P66" t="str">
            <v>*</v>
          </cell>
          <cell r="Q66" t="str">
            <v>*</v>
          </cell>
          <cell r="R66">
            <v>5956</v>
          </cell>
          <cell r="S66" t="str">
            <v>*</v>
          </cell>
          <cell r="T66" t="str">
            <v>*</v>
          </cell>
          <cell r="U66">
            <v>5786</v>
          </cell>
          <cell r="V66">
            <v>5786</v>
          </cell>
          <cell r="W66">
            <v>5956</v>
          </cell>
          <cell r="X66">
            <v>5956</v>
          </cell>
          <cell r="Y66">
            <v>5956</v>
          </cell>
          <cell r="Z66">
            <v>7</v>
          </cell>
          <cell r="AA66">
            <v>12</v>
          </cell>
          <cell r="AB66">
            <v>7</v>
          </cell>
          <cell r="AC66">
            <v>9</v>
          </cell>
          <cell r="AD66">
            <v>10</v>
          </cell>
          <cell r="AE66">
            <v>7</v>
          </cell>
          <cell r="AF66">
            <v>7</v>
          </cell>
          <cell r="AG66">
            <v>8.6666666666666661</v>
          </cell>
          <cell r="AH66">
            <v>9.3333333333333339</v>
          </cell>
          <cell r="AI66">
            <v>8.6666666666666661</v>
          </cell>
          <cell r="AJ66">
            <v>8.6666666666666661</v>
          </cell>
          <cell r="AK66">
            <v>8</v>
          </cell>
          <cell r="AL66">
            <v>0</v>
          </cell>
          <cell r="AM66">
            <v>0</v>
          </cell>
          <cell r="AN66">
            <v>44.255012098167988</v>
          </cell>
          <cell r="AO66">
            <v>44.820428620808848</v>
          </cell>
          <cell r="AP66">
            <v>44.393216924110142</v>
          </cell>
          <cell r="AQ66">
            <v>44.393216924110142</v>
          </cell>
          <cell r="AR66">
            <v>45.716672263263938</v>
          </cell>
          <cell r="AS66" t="str">
            <v>Low N</v>
          </cell>
          <cell r="AT66" t="str">
            <v>Pathology: Anatomic</v>
          </cell>
          <cell r="AU66">
            <v>40.362280701754386</v>
          </cell>
          <cell r="AV66">
            <v>40.362280701754386</v>
          </cell>
        </row>
        <row r="67">
          <cell r="A67" t="str">
            <v>Pathology: Anatomic-Neuropathology</v>
          </cell>
          <cell r="B67">
            <v>216900</v>
          </cell>
          <cell r="C67">
            <v>224300</v>
          </cell>
          <cell r="D67">
            <v>236629</v>
          </cell>
          <cell r="E67">
            <v>248379</v>
          </cell>
          <cell r="F67">
            <v>256236</v>
          </cell>
          <cell r="G67">
            <v>253650</v>
          </cell>
          <cell r="H67">
            <v>265000</v>
          </cell>
          <cell r="I67">
            <v>225943</v>
          </cell>
          <cell r="J67">
            <v>236436</v>
          </cell>
          <cell r="K67">
            <v>247081.33333333334</v>
          </cell>
          <cell r="L67">
            <v>252755</v>
          </cell>
          <cell r="M67">
            <v>258295.33333333334</v>
          </cell>
          <cell r="N67" t="str">
            <v>*</v>
          </cell>
          <cell r="O67" t="str">
            <v>*</v>
          </cell>
          <cell r="P67" t="str">
            <v>*</v>
          </cell>
          <cell r="Q67" t="str">
            <v>*</v>
          </cell>
          <cell r="R67">
            <v>2731</v>
          </cell>
          <cell r="S67">
            <v>2260</v>
          </cell>
          <cell r="T67" t="str">
            <v>*</v>
          </cell>
          <cell r="U67" t="str">
            <v>*</v>
          </cell>
          <cell r="V67" t="str">
            <v>*</v>
          </cell>
          <cell r="W67">
            <v>2731</v>
          </cell>
          <cell r="X67">
            <v>2495.5</v>
          </cell>
          <cell r="Y67">
            <v>2495.5</v>
          </cell>
          <cell r="Z67">
            <v>3</v>
          </cell>
          <cell r="AA67">
            <v>6</v>
          </cell>
          <cell r="AB67">
            <v>8</v>
          </cell>
          <cell r="AC67">
            <v>5</v>
          </cell>
          <cell r="AD67">
            <v>10</v>
          </cell>
          <cell r="AE67">
            <v>11</v>
          </cell>
          <cell r="AF67">
            <v>4</v>
          </cell>
          <cell r="AG67">
            <v>5.666666666666667</v>
          </cell>
          <cell r="AH67">
            <v>6.333333333333333</v>
          </cell>
          <cell r="AI67">
            <v>7.666666666666667</v>
          </cell>
          <cell r="AJ67">
            <v>8.6666666666666661</v>
          </cell>
          <cell r="AK67">
            <v>8.3333333333333339</v>
          </cell>
          <cell r="AL67">
            <v>0</v>
          </cell>
          <cell r="AM67">
            <v>0</v>
          </cell>
          <cell r="AN67" t="str">
            <v>*</v>
          </cell>
          <cell r="AO67" t="str">
            <v>*</v>
          </cell>
          <cell r="AP67">
            <v>90.472842670572447</v>
          </cell>
          <cell r="AQ67">
            <v>101.2843117611701</v>
          </cell>
          <cell r="AR67">
            <v>103.50444132772324</v>
          </cell>
          <cell r="AS67" t="str">
            <v>Low N</v>
          </cell>
          <cell r="AT67" t="str">
            <v>Pathology: Anatomic</v>
          </cell>
          <cell r="AU67">
            <v>40.362280701754386</v>
          </cell>
          <cell r="AV67">
            <v>40.362280701754386</v>
          </cell>
        </row>
        <row r="68">
          <cell r="A68" t="str">
            <v>Pathology: Anatomic-Renal</v>
          </cell>
          <cell r="B68" t="str">
            <v>*</v>
          </cell>
          <cell r="C68" t="str">
            <v>*</v>
          </cell>
          <cell r="D68" t="str">
            <v>*</v>
          </cell>
          <cell r="E68" t="str">
            <v>*</v>
          </cell>
          <cell r="F68">
            <v>261974</v>
          </cell>
          <cell r="G68" t="str">
            <v>*</v>
          </cell>
          <cell r="H68" t="str">
            <v>*</v>
          </cell>
          <cell r="I68" t="str">
            <v>*</v>
          </cell>
          <cell r="J68" t="str">
            <v>*</v>
          </cell>
          <cell r="K68">
            <v>261974</v>
          </cell>
          <cell r="L68">
            <v>261974</v>
          </cell>
          <cell r="M68">
            <v>261974</v>
          </cell>
          <cell r="N68" t="str">
            <v>*</v>
          </cell>
          <cell r="O68" t="str">
            <v>*</v>
          </cell>
          <cell r="P68" t="str">
            <v>*</v>
          </cell>
          <cell r="Q68" t="str">
            <v>*</v>
          </cell>
          <cell r="R68">
            <v>5124</v>
          </cell>
          <cell r="S68" t="str">
            <v>*</v>
          </cell>
          <cell r="T68" t="str">
            <v>*</v>
          </cell>
          <cell r="U68" t="str">
            <v>*</v>
          </cell>
          <cell r="V68" t="str">
            <v>*</v>
          </cell>
          <cell r="W68">
            <v>5124</v>
          </cell>
          <cell r="X68">
            <v>5124</v>
          </cell>
          <cell r="Y68">
            <v>5124</v>
          </cell>
          <cell r="Z68">
            <v>3</v>
          </cell>
          <cell r="AA68">
            <v>2</v>
          </cell>
          <cell r="AB68">
            <v>4</v>
          </cell>
          <cell r="AC68">
            <v>5</v>
          </cell>
          <cell r="AD68">
            <v>23</v>
          </cell>
          <cell r="AE68">
            <v>7</v>
          </cell>
          <cell r="AF68">
            <v>3</v>
          </cell>
          <cell r="AG68">
            <v>3</v>
          </cell>
          <cell r="AH68">
            <v>3.6666666666666665</v>
          </cell>
          <cell r="AI68">
            <v>10.666666666666666</v>
          </cell>
          <cell r="AJ68">
            <v>11.666666666666666</v>
          </cell>
          <cell r="AK68">
            <v>11</v>
          </cell>
          <cell r="AL68">
            <v>0</v>
          </cell>
          <cell r="AM68">
            <v>0</v>
          </cell>
          <cell r="AN68" t="str">
            <v>*</v>
          </cell>
          <cell r="AO68" t="str">
            <v>*</v>
          </cell>
          <cell r="AP68">
            <v>51.126854020296641</v>
          </cell>
          <cell r="AQ68">
            <v>51.126854020296641</v>
          </cell>
          <cell r="AR68">
            <v>51.126854020296641</v>
          </cell>
          <cell r="AS68" t="str">
            <v>Low N</v>
          </cell>
          <cell r="AT68" t="str">
            <v>Pathology: Anatomic</v>
          </cell>
          <cell r="AU68">
            <v>40.362280701754386</v>
          </cell>
          <cell r="AV68">
            <v>40.362280701754386</v>
          </cell>
        </row>
        <row r="69">
          <cell r="A69" t="str">
            <v>Pathology: Clinical</v>
          </cell>
          <cell r="B69">
            <v>191652</v>
          </cell>
          <cell r="C69">
            <v>206538</v>
          </cell>
          <cell r="D69">
            <v>218413</v>
          </cell>
          <cell r="E69">
            <v>244960</v>
          </cell>
          <cell r="F69">
            <v>234332</v>
          </cell>
          <cell r="G69">
            <v>244348</v>
          </cell>
          <cell r="H69">
            <v>248500</v>
          </cell>
          <cell r="I69">
            <v>205534.33333333334</v>
          </cell>
          <cell r="J69">
            <v>223303.66666666666</v>
          </cell>
          <cell r="K69">
            <v>232568.33333333334</v>
          </cell>
          <cell r="L69">
            <v>241213.33333333334</v>
          </cell>
          <cell r="M69">
            <v>242393.33333333334</v>
          </cell>
          <cell r="N69">
            <v>2912</v>
          </cell>
          <cell r="O69">
            <v>3151</v>
          </cell>
          <cell r="P69">
            <v>4750</v>
          </cell>
          <cell r="Q69">
            <v>2383</v>
          </cell>
          <cell r="R69">
            <v>4101</v>
          </cell>
          <cell r="S69">
            <v>4722</v>
          </cell>
          <cell r="T69">
            <v>4315</v>
          </cell>
          <cell r="U69">
            <v>3604.3333333333335</v>
          </cell>
          <cell r="V69">
            <v>3428</v>
          </cell>
          <cell r="W69">
            <v>3744.6666666666665</v>
          </cell>
          <cell r="X69">
            <v>3735.3333333333335</v>
          </cell>
          <cell r="Y69">
            <v>4379.333333333333</v>
          </cell>
          <cell r="Z69">
            <v>34</v>
          </cell>
          <cell r="AA69">
            <v>14</v>
          </cell>
          <cell r="AB69">
            <v>30</v>
          </cell>
          <cell r="AC69">
            <v>31</v>
          </cell>
          <cell r="AD69">
            <v>61</v>
          </cell>
          <cell r="AE69">
            <v>89</v>
          </cell>
          <cell r="AF69">
            <v>61</v>
          </cell>
          <cell r="AG69">
            <v>26</v>
          </cell>
          <cell r="AH69">
            <v>25</v>
          </cell>
          <cell r="AI69">
            <v>40.666666666666664</v>
          </cell>
          <cell r="AJ69">
            <v>60.333333333333336</v>
          </cell>
          <cell r="AK69">
            <v>70.333333333333329</v>
          </cell>
          <cell r="AL69">
            <v>13</v>
          </cell>
          <cell r="AM69">
            <v>0.14606741573033707</v>
          </cell>
          <cell r="AN69">
            <v>57.024230093406082</v>
          </cell>
          <cell r="AO69">
            <v>65.141092959937765</v>
          </cell>
          <cell r="AP69">
            <v>62.10655153996796</v>
          </cell>
          <cell r="AQ69">
            <v>64.576119935748707</v>
          </cell>
          <cell r="AR69">
            <v>55.34936824478612</v>
          </cell>
          <cell r="AS69" t="str">
            <v/>
          </cell>
          <cell r="AV69">
            <v>55.34936824478612</v>
          </cell>
        </row>
        <row r="70">
          <cell r="A70" t="str">
            <v>Pathology: Clinical-Hematopathology</v>
          </cell>
          <cell r="B70">
            <v>255000</v>
          </cell>
          <cell r="C70">
            <v>213277</v>
          </cell>
          <cell r="D70">
            <v>212000</v>
          </cell>
          <cell r="E70">
            <v>231082</v>
          </cell>
          <cell r="F70">
            <v>236690</v>
          </cell>
          <cell r="G70">
            <v>233119</v>
          </cell>
          <cell r="H70">
            <v>246400</v>
          </cell>
          <cell r="I70">
            <v>226759</v>
          </cell>
          <cell r="J70">
            <v>218786.33333333334</v>
          </cell>
          <cell r="K70">
            <v>226590.66666666666</v>
          </cell>
          <cell r="L70">
            <v>233630.33333333334</v>
          </cell>
          <cell r="M70">
            <v>238736.33333333334</v>
          </cell>
          <cell r="N70">
            <v>8210</v>
          </cell>
          <cell r="O70">
            <v>6776</v>
          </cell>
          <cell r="P70" t="str">
            <v>*</v>
          </cell>
          <cell r="Q70">
            <v>5804</v>
          </cell>
          <cell r="R70">
            <v>5441</v>
          </cell>
          <cell r="S70">
            <v>5611</v>
          </cell>
          <cell r="T70">
            <v>5411</v>
          </cell>
          <cell r="U70">
            <v>7493</v>
          </cell>
          <cell r="V70">
            <v>6290</v>
          </cell>
          <cell r="W70">
            <v>5622.5</v>
          </cell>
          <cell r="X70">
            <v>5618.666666666667</v>
          </cell>
          <cell r="Y70">
            <v>5487.666666666667</v>
          </cell>
          <cell r="Z70">
            <v>10</v>
          </cell>
          <cell r="AA70">
            <v>13</v>
          </cell>
          <cell r="AB70">
            <v>8</v>
          </cell>
          <cell r="AC70">
            <v>11</v>
          </cell>
          <cell r="AD70">
            <v>14</v>
          </cell>
          <cell r="AE70">
            <v>16</v>
          </cell>
          <cell r="AF70">
            <v>21</v>
          </cell>
          <cell r="AG70">
            <v>10.333333333333334</v>
          </cell>
          <cell r="AH70">
            <v>10.666666666666666</v>
          </cell>
          <cell r="AI70">
            <v>11</v>
          </cell>
          <cell r="AJ70">
            <v>13.666666666666666</v>
          </cell>
          <cell r="AK70">
            <v>17</v>
          </cell>
          <cell r="AL70">
            <v>0</v>
          </cell>
          <cell r="AM70">
            <v>0</v>
          </cell>
          <cell r="AN70">
            <v>30.262778593353797</v>
          </cell>
          <cell r="AO70">
            <v>34.783200847906734</v>
          </cell>
          <cell r="AP70">
            <v>40.300696605898914</v>
          </cell>
          <cell r="AQ70">
            <v>41.581098718557193</v>
          </cell>
          <cell r="AR70">
            <v>43.504160845532404</v>
          </cell>
          <cell r="AS70" t="str">
            <v/>
          </cell>
          <cell r="AV70">
            <v>43.504160845532404</v>
          </cell>
        </row>
        <row r="71">
          <cell r="A71" t="str">
            <v>Pathology: Clinical-Transfusion Medicine</v>
          </cell>
          <cell r="B71" t="str">
            <v>*</v>
          </cell>
          <cell r="C71" t="str">
            <v>*</v>
          </cell>
          <cell r="D71">
            <v>209040</v>
          </cell>
          <cell r="E71">
            <v>242000</v>
          </cell>
          <cell r="F71">
            <v>220087</v>
          </cell>
          <cell r="G71">
            <v>264367</v>
          </cell>
          <cell r="H71">
            <v>254328</v>
          </cell>
          <cell r="I71">
            <v>209040</v>
          </cell>
          <cell r="J71">
            <v>225520</v>
          </cell>
          <cell r="K71">
            <v>223709</v>
          </cell>
          <cell r="L71">
            <v>242151.33333333334</v>
          </cell>
          <cell r="M71">
            <v>246260.66666666666</v>
          </cell>
          <cell r="N71" t="str">
            <v>*</v>
          </cell>
          <cell r="O71" t="str">
            <v>*</v>
          </cell>
          <cell r="P71" t="str">
            <v>*</v>
          </cell>
          <cell r="Q71" t="str">
            <v>*</v>
          </cell>
          <cell r="R71" t="str">
            <v>*</v>
          </cell>
          <cell r="S71" t="str">
            <v>*</v>
          </cell>
          <cell r="T71" t="str">
            <v>*</v>
          </cell>
          <cell r="U71" t="str">
            <v>*</v>
          </cell>
          <cell r="V71" t="str">
            <v>*</v>
          </cell>
          <cell r="W71" t="str">
            <v>*</v>
          </cell>
          <cell r="X71" t="str">
            <v>*</v>
          </cell>
          <cell r="Y71" t="str">
            <v>*</v>
          </cell>
          <cell r="Z71" t="str">
            <v>*</v>
          </cell>
          <cell r="AA71" t="str">
            <v>*</v>
          </cell>
          <cell r="AB71" t="str">
            <v>*</v>
          </cell>
          <cell r="AC71">
            <v>1</v>
          </cell>
          <cell r="AD71">
            <v>3</v>
          </cell>
          <cell r="AE71">
            <v>4</v>
          </cell>
          <cell r="AF71">
            <v>6</v>
          </cell>
          <cell r="AG71" t="str">
            <v>*</v>
          </cell>
          <cell r="AH71" t="str">
            <v>*</v>
          </cell>
          <cell r="AI71">
            <v>2</v>
          </cell>
          <cell r="AJ71">
            <v>2.6666666666666665</v>
          </cell>
          <cell r="AK71">
            <v>4.333333333333333</v>
          </cell>
          <cell r="AL71">
            <v>0</v>
          </cell>
          <cell r="AM71">
            <v>0</v>
          </cell>
          <cell r="AN71" t="str">
            <v>*</v>
          </cell>
          <cell r="AO71" t="str">
            <v>*</v>
          </cell>
          <cell r="AP71" t="str">
            <v>*</v>
          </cell>
          <cell r="AQ71" t="str">
            <v>*</v>
          </cell>
          <cell r="AR71" t="str">
            <v>*</v>
          </cell>
          <cell r="AS71" t="str">
            <v>Low N</v>
          </cell>
          <cell r="AT71" t="str">
            <v>Pathology: Clinical</v>
          </cell>
          <cell r="AU71">
            <v>55.34936824478612</v>
          </cell>
          <cell r="AV71">
            <v>55.34936824478612</v>
          </cell>
        </row>
        <row r="72">
          <cell r="A72" t="str">
            <v>Pathology: Surgical</v>
          </cell>
          <cell r="B72">
            <v>207948</v>
          </cell>
          <cell r="C72">
            <v>218483</v>
          </cell>
          <cell r="D72">
            <v>196465</v>
          </cell>
          <cell r="E72">
            <v>206000</v>
          </cell>
          <cell r="F72">
            <v>238025</v>
          </cell>
          <cell r="G72">
            <v>238287</v>
          </cell>
          <cell r="H72">
            <v>256692</v>
          </cell>
          <cell r="I72">
            <v>207632</v>
          </cell>
          <cell r="J72">
            <v>206982.66666666666</v>
          </cell>
          <cell r="K72">
            <v>213496.66666666666</v>
          </cell>
          <cell r="L72">
            <v>227437.33333333334</v>
          </cell>
          <cell r="M72">
            <v>244334.66666666666</v>
          </cell>
          <cell r="N72">
            <v>7467</v>
          </cell>
          <cell r="O72">
            <v>6625</v>
          </cell>
          <cell r="P72">
            <v>9778</v>
          </cell>
          <cell r="Q72">
            <v>8748</v>
          </cell>
          <cell r="R72">
            <v>6341</v>
          </cell>
          <cell r="S72">
            <v>6965</v>
          </cell>
          <cell r="T72">
            <v>6736</v>
          </cell>
          <cell r="U72">
            <v>7956.666666666667</v>
          </cell>
          <cell r="V72">
            <v>8383.6666666666661</v>
          </cell>
          <cell r="W72">
            <v>8289</v>
          </cell>
          <cell r="X72">
            <v>7351.333333333333</v>
          </cell>
          <cell r="Y72">
            <v>6680.666666666667</v>
          </cell>
          <cell r="Z72">
            <v>36</v>
          </cell>
          <cell r="AA72">
            <v>59</v>
          </cell>
          <cell r="AB72">
            <v>25</v>
          </cell>
          <cell r="AC72">
            <v>19</v>
          </cell>
          <cell r="AD72">
            <v>65</v>
          </cell>
          <cell r="AE72">
            <v>100</v>
          </cell>
          <cell r="AF72">
            <v>67</v>
          </cell>
          <cell r="AG72">
            <v>40</v>
          </cell>
          <cell r="AH72">
            <v>34.333333333333336</v>
          </cell>
          <cell r="AI72">
            <v>36.333333333333336</v>
          </cell>
          <cell r="AJ72">
            <v>61.333333333333336</v>
          </cell>
          <cell r="AK72">
            <v>77.333333333333329</v>
          </cell>
          <cell r="AL72">
            <v>8</v>
          </cell>
          <cell r="AM72">
            <v>0.08</v>
          </cell>
          <cell r="AN72">
            <v>26.095349811478844</v>
          </cell>
          <cell r="AO72">
            <v>24.688799650113317</v>
          </cell>
          <cell r="AP72">
            <v>25.756625246310371</v>
          </cell>
          <cell r="AQ72">
            <v>30.938242495692393</v>
          </cell>
          <cell r="AR72">
            <v>36.573395868675775</v>
          </cell>
          <cell r="AS72" t="str">
            <v/>
          </cell>
          <cell r="AV72">
            <v>36.573395868675775</v>
          </cell>
        </row>
        <row r="73">
          <cell r="A73" t="str">
            <v>Pediatrics: Adolescent Medicine</v>
          </cell>
          <cell r="B73">
            <v>153830</v>
          </cell>
          <cell r="C73">
            <v>161801</v>
          </cell>
          <cell r="D73">
            <v>161083</v>
          </cell>
          <cell r="E73">
            <v>202819</v>
          </cell>
          <cell r="F73">
            <v>184299</v>
          </cell>
          <cell r="G73">
            <v>184349</v>
          </cell>
          <cell r="H73">
            <v>186493</v>
          </cell>
          <cell r="I73">
            <v>158904.66666666666</v>
          </cell>
          <cell r="J73">
            <v>175234.33333333334</v>
          </cell>
          <cell r="K73">
            <v>182733.66666666666</v>
          </cell>
          <cell r="L73">
            <v>190489</v>
          </cell>
          <cell r="M73">
            <v>185047</v>
          </cell>
          <cell r="N73">
            <v>2822</v>
          </cell>
          <cell r="O73">
            <v>3252</v>
          </cell>
          <cell r="P73">
            <v>3478</v>
          </cell>
          <cell r="Q73">
            <v>2875</v>
          </cell>
          <cell r="R73">
            <v>3102</v>
          </cell>
          <cell r="S73">
            <v>3112</v>
          </cell>
          <cell r="T73">
            <v>2767</v>
          </cell>
          <cell r="U73">
            <v>3184</v>
          </cell>
          <cell r="V73">
            <v>3201.6666666666665</v>
          </cell>
          <cell r="W73">
            <v>3151.6666666666665</v>
          </cell>
          <cell r="X73">
            <v>3029.6666666666665</v>
          </cell>
          <cell r="Y73">
            <v>2993.6666666666665</v>
          </cell>
          <cell r="Z73">
            <v>12</v>
          </cell>
          <cell r="AA73">
            <v>10</v>
          </cell>
          <cell r="AB73">
            <v>17</v>
          </cell>
          <cell r="AC73">
            <v>18</v>
          </cell>
          <cell r="AD73">
            <v>13</v>
          </cell>
          <cell r="AE73">
            <v>20</v>
          </cell>
          <cell r="AF73">
            <v>29</v>
          </cell>
          <cell r="AG73">
            <v>13</v>
          </cell>
          <cell r="AH73">
            <v>15</v>
          </cell>
          <cell r="AI73">
            <v>16</v>
          </cell>
          <cell r="AJ73">
            <v>17</v>
          </cell>
          <cell r="AK73">
            <v>20.666666666666668</v>
          </cell>
          <cell r="AL73">
            <v>0</v>
          </cell>
          <cell r="AM73">
            <v>0</v>
          </cell>
          <cell r="AN73">
            <v>49.907244556113902</v>
          </cell>
          <cell r="AO73">
            <v>54.732222800624683</v>
          </cell>
          <cell r="AP73">
            <v>57.980010576414593</v>
          </cell>
          <cell r="AQ73">
            <v>62.874573660468698</v>
          </cell>
          <cell r="AR73">
            <v>61.812827079389827</v>
          </cell>
          <cell r="AS73" t="str">
            <v/>
          </cell>
          <cell r="AV73">
            <v>61.812827079389827</v>
          </cell>
        </row>
        <row r="74">
          <cell r="A74" t="str">
            <v>Pediatrics: Allergy/Immunology</v>
          </cell>
          <cell r="B74">
            <v>187430</v>
          </cell>
          <cell r="C74">
            <v>169483</v>
          </cell>
          <cell r="D74">
            <v>180026</v>
          </cell>
          <cell r="E74">
            <v>208218</v>
          </cell>
          <cell r="F74">
            <v>185040</v>
          </cell>
          <cell r="G74">
            <v>188650</v>
          </cell>
          <cell r="H74">
            <v>199490</v>
          </cell>
          <cell r="I74">
            <v>178979.66666666666</v>
          </cell>
          <cell r="J74">
            <v>185909</v>
          </cell>
          <cell r="K74">
            <v>191094.66666666666</v>
          </cell>
          <cell r="L74">
            <v>193969.33333333334</v>
          </cell>
          <cell r="M74">
            <v>191060</v>
          </cell>
          <cell r="N74">
            <v>3741</v>
          </cell>
          <cell r="O74">
            <v>4201</v>
          </cell>
          <cell r="P74">
            <v>3505</v>
          </cell>
          <cell r="Q74">
            <v>4104</v>
          </cell>
          <cell r="R74">
            <v>3061</v>
          </cell>
          <cell r="S74">
            <v>3369</v>
          </cell>
          <cell r="T74">
            <v>2848</v>
          </cell>
          <cell r="U74">
            <v>3815.6666666666665</v>
          </cell>
          <cell r="V74">
            <v>3936.6666666666665</v>
          </cell>
          <cell r="W74">
            <v>3556.6666666666665</v>
          </cell>
          <cell r="X74">
            <v>3511.3333333333335</v>
          </cell>
          <cell r="Y74">
            <v>3092.6666666666665</v>
          </cell>
          <cell r="Z74">
            <v>22</v>
          </cell>
          <cell r="AA74">
            <v>15</v>
          </cell>
          <cell r="AB74">
            <v>10</v>
          </cell>
          <cell r="AC74">
            <v>37</v>
          </cell>
          <cell r="AD74">
            <v>25</v>
          </cell>
          <cell r="AE74">
            <v>26</v>
          </cell>
          <cell r="AF74">
            <v>47</v>
          </cell>
          <cell r="AG74">
            <v>15.666666666666666</v>
          </cell>
          <cell r="AH74">
            <v>20.666666666666668</v>
          </cell>
          <cell r="AI74">
            <v>24</v>
          </cell>
          <cell r="AJ74">
            <v>29.333333333333332</v>
          </cell>
          <cell r="AK74">
            <v>32.666666666666664</v>
          </cell>
          <cell r="AL74">
            <v>5</v>
          </cell>
          <cell r="AM74">
            <v>0.19230769230769232</v>
          </cell>
          <cell r="AN74">
            <v>46.906525727264786</v>
          </cell>
          <cell r="AO74">
            <v>47.224978831498731</v>
          </cell>
          <cell r="AP74">
            <v>53.728584817244609</v>
          </cell>
          <cell r="AQ74">
            <v>55.24093411809379</v>
          </cell>
          <cell r="AR74">
            <v>61.778400517352878</v>
          </cell>
          <cell r="AS74" t="str">
            <v/>
          </cell>
          <cell r="AV74">
            <v>61.778400517352878</v>
          </cell>
        </row>
        <row r="75">
          <cell r="A75" t="str">
            <v>Pediatrics: Bone Marrow Transplant</v>
          </cell>
          <cell r="B75">
            <v>209633</v>
          </cell>
          <cell r="C75" t="str">
            <v>*</v>
          </cell>
          <cell r="D75" t="str">
            <v>*</v>
          </cell>
          <cell r="E75">
            <v>247016</v>
          </cell>
          <cell r="F75">
            <v>220837</v>
          </cell>
          <cell r="G75">
            <v>213097</v>
          </cell>
          <cell r="H75">
            <v>218525</v>
          </cell>
          <cell r="I75">
            <v>209633</v>
          </cell>
          <cell r="J75">
            <v>247016</v>
          </cell>
          <cell r="K75">
            <v>233926.5</v>
          </cell>
          <cell r="L75">
            <v>226983.33333333334</v>
          </cell>
          <cell r="M75">
            <v>217486.33333333334</v>
          </cell>
          <cell r="N75" t="str">
            <v>*</v>
          </cell>
          <cell r="O75" t="str">
            <v>*</v>
          </cell>
          <cell r="P75" t="str">
            <v>*</v>
          </cell>
          <cell r="Q75">
            <v>3531</v>
          </cell>
          <cell r="R75">
            <v>1941</v>
          </cell>
          <cell r="S75">
            <v>3890</v>
          </cell>
          <cell r="T75" t="str">
            <v>*</v>
          </cell>
          <cell r="U75" t="str">
            <v>*</v>
          </cell>
          <cell r="V75">
            <v>3531</v>
          </cell>
          <cell r="W75">
            <v>2736</v>
          </cell>
          <cell r="X75">
            <v>3120.6666666666665</v>
          </cell>
          <cell r="Y75">
            <v>2915.5</v>
          </cell>
          <cell r="Z75">
            <v>4</v>
          </cell>
          <cell r="AA75">
            <v>3</v>
          </cell>
          <cell r="AB75">
            <v>4</v>
          </cell>
          <cell r="AC75">
            <v>10</v>
          </cell>
          <cell r="AD75">
            <v>11</v>
          </cell>
          <cell r="AE75">
            <v>18</v>
          </cell>
          <cell r="AF75">
            <v>9</v>
          </cell>
          <cell r="AG75">
            <v>3.6666666666666665</v>
          </cell>
          <cell r="AH75">
            <v>5.666666666666667</v>
          </cell>
          <cell r="AI75">
            <v>8.3333333333333339</v>
          </cell>
          <cell r="AJ75">
            <v>13</v>
          </cell>
          <cell r="AK75">
            <v>12.666666666666666</v>
          </cell>
          <cell r="AL75">
            <v>0</v>
          </cell>
          <cell r="AM75">
            <v>0</v>
          </cell>
          <cell r="AN75" t="str">
            <v>*</v>
          </cell>
          <cell r="AO75">
            <v>69.956386292834893</v>
          </cell>
          <cell r="AP75">
            <v>85.499451754385959</v>
          </cell>
          <cell r="AQ75">
            <v>72.735526596881016</v>
          </cell>
          <cell r="AR75">
            <v>74.596581489738753</v>
          </cell>
          <cell r="AS75" t="str">
            <v>Low N</v>
          </cell>
          <cell r="AT75" t="str">
            <v>Pediatrics: General</v>
          </cell>
          <cell r="AU75">
            <v>44.316522614752031</v>
          </cell>
          <cell r="AV75">
            <v>44.316522614752031</v>
          </cell>
        </row>
        <row r="76">
          <cell r="A76" t="str">
            <v>Pediatrics: Cardiology</v>
          </cell>
          <cell r="B76">
            <v>249287</v>
          </cell>
          <cell r="C76">
            <v>251500</v>
          </cell>
          <cell r="D76">
            <v>238591</v>
          </cell>
          <cell r="E76">
            <v>271220</v>
          </cell>
          <cell r="F76">
            <v>265229</v>
          </cell>
          <cell r="G76">
            <v>280380</v>
          </cell>
          <cell r="H76">
            <v>285053</v>
          </cell>
          <cell r="I76">
            <v>246459.33333333334</v>
          </cell>
          <cell r="J76">
            <v>253770.33333333334</v>
          </cell>
          <cell r="K76">
            <v>258346.66666666666</v>
          </cell>
          <cell r="L76">
            <v>272276.33333333331</v>
          </cell>
          <cell r="M76">
            <v>276887.33333333331</v>
          </cell>
          <cell r="N76">
            <v>4737</v>
          </cell>
          <cell r="O76">
            <v>5258</v>
          </cell>
          <cell r="P76">
            <v>5279</v>
          </cell>
          <cell r="Q76">
            <v>4252</v>
          </cell>
          <cell r="R76">
            <v>4486</v>
          </cell>
          <cell r="S76">
            <v>4695</v>
          </cell>
          <cell r="T76">
            <v>3924</v>
          </cell>
          <cell r="U76">
            <v>5091.333333333333</v>
          </cell>
          <cell r="V76">
            <v>4929.666666666667</v>
          </cell>
          <cell r="W76">
            <v>4672.333333333333</v>
          </cell>
          <cell r="X76">
            <v>4477.666666666667</v>
          </cell>
          <cell r="Y76">
            <v>4368.333333333333</v>
          </cell>
          <cell r="Z76">
            <v>147</v>
          </cell>
          <cell r="AA76">
            <v>90</v>
          </cell>
          <cell r="AB76">
            <v>106</v>
          </cell>
          <cell r="AC76">
            <v>182</v>
          </cell>
          <cell r="AD76">
            <v>155</v>
          </cell>
          <cell r="AE76">
            <v>198</v>
          </cell>
          <cell r="AF76">
            <v>215</v>
          </cell>
          <cell r="AG76">
            <v>114.33333333333333</v>
          </cell>
          <cell r="AH76">
            <v>126</v>
          </cell>
          <cell r="AI76">
            <v>147.66666666666666</v>
          </cell>
          <cell r="AJ76">
            <v>178.33333333333334</v>
          </cell>
          <cell r="AK76">
            <v>189.33333333333334</v>
          </cell>
          <cell r="AL76">
            <v>8</v>
          </cell>
          <cell r="AM76">
            <v>4.0404040404040407E-2</v>
          </cell>
          <cell r="AN76">
            <v>48.407620793505309</v>
          </cell>
          <cell r="AO76">
            <v>51.47819325174116</v>
          </cell>
          <cell r="AP76">
            <v>55.29285867161304</v>
          </cell>
          <cell r="AQ76">
            <v>60.807637906647798</v>
          </cell>
          <cell r="AR76">
            <v>63.385120183136209</v>
          </cell>
          <cell r="AS76" t="str">
            <v/>
          </cell>
          <cell r="AV76">
            <v>63.385120183136209</v>
          </cell>
        </row>
        <row r="77">
          <cell r="A77" t="str">
            <v>Pediatrics: Cardiovascular Surgery</v>
          </cell>
          <cell r="B77">
            <v>516400</v>
          </cell>
          <cell r="C77">
            <v>642041</v>
          </cell>
          <cell r="D77">
            <v>494876</v>
          </cell>
          <cell r="E77">
            <v>650653</v>
          </cell>
          <cell r="F77">
            <v>646716</v>
          </cell>
          <cell r="G77">
            <v>666002</v>
          </cell>
          <cell r="H77">
            <v>596983</v>
          </cell>
          <cell r="I77">
            <v>551105.66666666663</v>
          </cell>
          <cell r="J77">
            <v>595856.66666666663</v>
          </cell>
          <cell r="K77">
            <v>597415</v>
          </cell>
          <cell r="L77">
            <v>654457</v>
          </cell>
          <cell r="M77">
            <v>636567</v>
          </cell>
          <cell r="N77" t="str">
            <v>*</v>
          </cell>
          <cell r="O77" t="str">
            <v>*</v>
          </cell>
          <cell r="P77">
            <v>9937</v>
          </cell>
          <cell r="Q77" t="str">
            <v>*</v>
          </cell>
          <cell r="R77">
            <v>5800</v>
          </cell>
          <cell r="S77">
            <v>8117</v>
          </cell>
          <cell r="T77">
            <v>6389</v>
          </cell>
          <cell r="U77">
            <v>9937</v>
          </cell>
          <cell r="V77">
            <v>9937</v>
          </cell>
          <cell r="W77">
            <v>7868.5</v>
          </cell>
          <cell r="X77">
            <v>6958.5</v>
          </cell>
          <cell r="Y77">
            <v>6768.666666666667</v>
          </cell>
          <cell r="Z77">
            <v>9</v>
          </cell>
          <cell r="AA77">
            <v>4</v>
          </cell>
          <cell r="AB77">
            <v>18</v>
          </cell>
          <cell r="AC77">
            <v>9</v>
          </cell>
          <cell r="AD77">
            <v>19</v>
          </cell>
          <cell r="AE77">
            <v>21</v>
          </cell>
          <cell r="AF77">
            <v>19</v>
          </cell>
          <cell r="AG77">
            <v>10.333333333333334</v>
          </cell>
          <cell r="AH77">
            <v>10.333333333333334</v>
          </cell>
          <cell r="AI77">
            <v>15.333333333333334</v>
          </cell>
          <cell r="AJ77">
            <v>16.333333333333332</v>
          </cell>
          <cell r="AK77">
            <v>19.666666666666668</v>
          </cell>
          <cell r="AL77">
            <v>2</v>
          </cell>
          <cell r="AM77">
            <v>9.5238095238095233E-2</v>
          </cell>
          <cell r="AN77">
            <v>55.459964442655391</v>
          </cell>
          <cell r="AO77">
            <v>59.963436315454025</v>
          </cell>
          <cell r="AP77">
            <v>75.924890385715187</v>
          </cell>
          <cell r="AQ77">
            <v>94.051447869512103</v>
          </cell>
          <cell r="AR77">
            <v>94.046143996848215</v>
          </cell>
          <cell r="AS77" t="str">
            <v/>
          </cell>
          <cell r="AV77">
            <v>94.046143996848215</v>
          </cell>
        </row>
        <row r="78">
          <cell r="A78" t="str">
            <v>Pediatrics: Child Development</v>
          </cell>
          <cell r="B78">
            <v>162286</v>
          </cell>
          <cell r="C78">
            <v>158849</v>
          </cell>
          <cell r="D78">
            <v>160629</v>
          </cell>
          <cell r="E78">
            <v>177405</v>
          </cell>
          <cell r="F78">
            <v>165076</v>
          </cell>
          <cell r="G78">
            <v>169574</v>
          </cell>
          <cell r="H78">
            <v>169741</v>
          </cell>
          <cell r="I78">
            <v>160588</v>
          </cell>
          <cell r="J78">
            <v>165627.66666666666</v>
          </cell>
          <cell r="K78">
            <v>167703.33333333334</v>
          </cell>
          <cell r="L78">
            <v>170685</v>
          </cell>
          <cell r="M78">
            <v>168130.33333333334</v>
          </cell>
          <cell r="N78">
            <v>2839</v>
          </cell>
          <cell r="O78">
            <v>1972</v>
          </cell>
          <cell r="P78">
            <v>2295</v>
          </cell>
          <cell r="Q78">
            <v>2644</v>
          </cell>
          <cell r="R78">
            <v>2672</v>
          </cell>
          <cell r="S78">
            <v>2566</v>
          </cell>
          <cell r="T78">
            <v>2537</v>
          </cell>
          <cell r="U78">
            <v>2368.6666666666665</v>
          </cell>
          <cell r="V78">
            <v>2303.6666666666665</v>
          </cell>
          <cell r="W78">
            <v>2537</v>
          </cell>
          <cell r="X78">
            <v>2627.3333333333335</v>
          </cell>
          <cell r="Y78">
            <v>2591.6666666666665</v>
          </cell>
          <cell r="Z78">
            <v>23</v>
          </cell>
          <cell r="AA78">
            <v>14</v>
          </cell>
          <cell r="AB78">
            <v>22</v>
          </cell>
          <cell r="AC78">
            <v>18</v>
          </cell>
          <cell r="AD78">
            <v>27</v>
          </cell>
          <cell r="AE78">
            <v>30</v>
          </cell>
          <cell r="AF78">
            <v>26</v>
          </cell>
          <cell r="AG78">
            <v>19.666666666666668</v>
          </cell>
          <cell r="AH78">
            <v>18</v>
          </cell>
          <cell r="AI78">
            <v>22.333333333333332</v>
          </cell>
          <cell r="AJ78">
            <v>25</v>
          </cell>
          <cell r="AK78">
            <v>27.666666666666668</v>
          </cell>
          <cell r="AL78">
            <v>0</v>
          </cell>
          <cell r="AM78">
            <v>0</v>
          </cell>
          <cell r="AN78">
            <v>67.796791443850267</v>
          </cell>
          <cell r="AO78">
            <v>71.897409926204602</v>
          </cell>
          <cell r="AP78">
            <v>66.103008803048226</v>
          </cell>
          <cell r="AQ78">
            <v>64.965110378076631</v>
          </cell>
          <cell r="AR78">
            <v>64.873440514469465</v>
          </cell>
          <cell r="AS78" t="str">
            <v/>
          </cell>
          <cell r="AV78">
            <v>64.873440514469465</v>
          </cell>
        </row>
        <row r="79">
          <cell r="A79" t="str">
            <v>Pediatrics: Critical Care/Intensivist</v>
          </cell>
          <cell r="B79">
            <v>230151</v>
          </cell>
          <cell r="C79">
            <v>249740</v>
          </cell>
          <cell r="D79">
            <v>247095</v>
          </cell>
          <cell r="E79">
            <v>253450</v>
          </cell>
          <cell r="F79">
            <v>265125</v>
          </cell>
          <cell r="G79">
            <v>283801</v>
          </cell>
          <cell r="H79">
            <v>291755</v>
          </cell>
          <cell r="I79">
            <v>242328.66666666666</v>
          </cell>
          <cell r="J79">
            <v>250095</v>
          </cell>
          <cell r="K79">
            <v>255223.33333333334</v>
          </cell>
          <cell r="L79">
            <v>267458.66666666669</v>
          </cell>
          <cell r="M79">
            <v>280227</v>
          </cell>
          <cell r="N79">
            <v>6697</v>
          </cell>
          <cell r="O79">
            <v>7865</v>
          </cell>
          <cell r="P79">
            <v>6338</v>
          </cell>
          <cell r="Q79">
            <v>5837</v>
          </cell>
          <cell r="R79">
            <v>6386</v>
          </cell>
          <cell r="S79">
            <v>5994</v>
          </cell>
          <cell r="T79">
            <v>5734</v>
          </cell>
          <cell r="U79">
            <v>6966.666666666667</v>
          </cell>
          <cell r="V79">
            <v>6680</v>
          </cell>
          <cell r="W79">
            <v>6187</v>
          </cell>
          <cell r="X79">
            <v>6072.333333333333</v>
          </cell>
          <cell r="Y79">
            <v>6038</v>
          </cell>
          <cell r="Z79">
            <v>72</v>
          </cell>
          <cell r="AA79">
            <v>34</v>
          </cell>
          <cell r="AB79">
            <v>74</v>
          </cell>
          <cell r="AC79">
            <v>102</v>
          </cell>
          <cell r="AD79">
            <v>126</v>
          </cell>
          <cell r="AE79">
            <v>140</v>
          </cell>
          <cell r="AF79">
            <v>176</v>
          </cell>
          <cell r="AG79">
            <v>60</v>
          </cell>
          <cell r="AH79">
            <v>70</v>
          </cell>
          <cell r="AI79">
            <v>100.66666666666667</v>
          </cell>
          <cell r="AJ79">
            <v>122.66666666666667</v>
          </cell>
          <cell r="AK79">
            <v>147.33333333333334</v>
          </cell>
          <cell r="AL79">
            <v>12</v>
          </cell>
          <cell r="AM79">
            <v>8.5714285714285715E-2</v>
          </cell>
          <cell r="AN79">
            <v>34.78401913875598</v>
          </cell>
          <cell r="AO79">
            <v>37.439371257485028</v>
          </cell>
          <cell r="AP79">
            <v>41.251548946716234</v>
          </cell>
          <cell r="AQ79">
            <v>44.045452050282705</v>
          </cell>
          <cell r="AR79">
            <v>46.41056641271944</v>
          </cell>
          <cell r="AS79" t="str">
            <v/>
          </cell>
          <cell r="AV79">
            <v>46.41056641271944</v>
          </cell>
        </row>
        <row r="80">
          <cell r="A80" t="str">
            <v>Pediatrics: Dermatology</v>
          </cell>
          <cell r="B80">
            <v>236500</v>
          </cell>
          <cell r="C80" t="str">
            <v>*</v>
          </cell>
          <cell r="D80">
            <v>328857</v>
          </cell>
          <cell r="E80">
            <v>292919</v>
          </cell>
          <cell r="F80">
            <v>287515</v>
          </cell>
          <cell r="G80">
            <v>292027</v>
          </cell>
          <cell r="H80">
            <v>288023</v>
          </cell>
          <cell r="I80">
            <v>282678.5</v>
          </cell>
          <cell r="J80">
            <v>310888</v>
          </cell>
          <cell r="K80">
            <v>303097</v>
          </cell>
          <cell r="L80">
            <v>290820.33333333331</v>
          </cell>
          <cell r="M80">
            <v>289188.33333333331</v>
          </cell>
          <cell r="N80" t="str">
            <v>*</v>
          </cell>
          <cell r="O80" t="str">
            <v>*</v>
          </cell>
          <cell r="P80" t="str">
            <v>*</v>
          </cell>
          <cell r="Q80">
            <v>4026</v>
          </cell>
          <cell r="R80">
            <v>5359</v>
          </cell>
          <cell r="S80">
            <v>4857</v>
          </cell>
          <cell r="T80">
            <v>4655</v>
          </cell>
          <cell r="U80" t="str">
            <v>*</v>
          </cell>
          <cell r="V80">
            <v>4026</v>
          </cell>
          <cell r="W80">
            <v>4692.5</v>
          </cell>
          <cell r="X80">
            <v>4747.333333333333</v>
          </cell>
          <cell r="Y80">
            <v>4957</v>
          </cell>
          <cell r="Z80">
            <v>7</v>
          </cell>
          <cell r="AA80">
            <v>3</v>
          </cell>
          <cell r="AB80">
            <v>5</v>
          </cell>
          <cell r="AC80">
            <v>12</v>
          </cell>
          <cell r="AD80">
            <v>12</v>
          </cell>
          <cell r="AE80">
            <v>13</v>
          </cell>
          <cell r="AF80">
            <v>19</v>
          </cell>
          <cell r="AG80">
            <v>5</v>
          </cell>
          <cell r="AH80">
            <v>6.666666666666667</v>
          </cell>
          <cell r="AI80">
            <v>9.6666666666666661</v>
          </cell>
          <cell r="AJ80">
            <v>12.333333333333334</v>
          </cell>
          <cell r="AK80">
            <v>14.666666666666666</v>
          </cell>
          <cell r="AL80">
            <v>2</v>
          </cell>
          <cell r="AM80">
            <v>0.15384615384615385</v>
          </cell>
          <cell r="AN80" t="str">
            <v>*</v>
          </cell>
          <cell r="AO80">
            <v>77.220069547938394</v>
          </cell>
          <cell r="AP80">
            <v>64.59179541822057</v>
          </cell>
          <cell r="AQ80">
            <v>61.25972475775874</v>
          </cell>
          <cell r="AR80">
            <v>58.339385380942772</v>
          </cell>
          <cell r="AS80" t="str">
            <v>Low N</v>
          </cell>
          <cell r="AT80" t="str">
            <v>Dermatology</v>
          </cell>
          <cell r="AU80">
            <v>48.644681071022426</v>
          </cell>
          <cell r="AV80">
            <v>48.644681071022426</v>
          </cell>
        </row>
        <row r="81">
          <cell r="A81" t="str">
            <v>Pediatrics: Emergency Medicine</v>
          </cell>
          <cell r="B81">
            <v>215956</v>
          </cell>
          <cell r="C81">
            <v>229654</v>
          </cell>
          <cell r="D81">
            <v>232577</v>
          </cell>
          <cell r="E81">
            <v>248530</v>
          </cell>
          <cell r="F81">
            <v>252803</v>
          </cell>
          <cell r="G81">
            <v>250253</v>
          </cell>
          <cell r="H81">
            <v>258381</v>
          </cell>
          <cell r="I81">
            <v>226062.33333333334</v>
          </cell>
          <cell r="J81">
            <v>236920.33333333334</v>
          </cell>
          <cell r="K81">
            <v>244636.66666666666</v>
          </cell>
          <cell r="L81">
            <v>250528.66666666666</v>
          </cell>
          <cell r="M81">
            <v>253812.33333333334</v>
          </cell>
          <cell r="N81">
            <v>6170</v>
          </cell>
          <cell r="O81">
            <v>6993</v>
          </cell>
          <cell r="P81">
            <v>6614</v>
          </cell>
          <cell r="Q81">
            <v>5771</v>
          </cell>
          <cell r="R81">
            <v>6111</v>
          </cell>
          <cell r="S81">
            <v>5722</v>
          </cell>
          <cell r="T81">
            <v>4891</v>
          </cell>
          <cell r="U81">
            <v>6592.333333333333</v>
          </cell>
          <cell r="V81">
            <v>6459.333333333333</v>
          </cell>
          <cell r="W81">
            <v>6165.333333333333</v>
          </cell>
          <cell r="X81">
            <v>5868</v>
          </cell>
          <cell r="Y81">
            <v>5574.666666666667</v>
          </cell>
          <cell r="Z81">
            <v>57</v>
          </cell>
          <cell r="AA81">
            <v>71</v>
          </cell>
          <cell r="AB81">
            <v>60</v>
          </cell>
          <cell r="AC81">
            <v>113</v>
          </cell>
          <cell r="AD81">
            <v>71</v>
          </cell>
          <cell r="AE81">
            <v>147</v>
          </cell>
          <cell r="AF81">
            <v>158</v>
          </cell>
          <cell r="AG81">
            <v>62.666666666666664</v>
          </cell>
          <cell r="AH81">
            <v>81.333333333333329</v>
          </cell>
          <cell r="AI81">
            <v>81.333333333333329</v>
          </cell>
          <cell r="AJ81">
            <v>110.33333333333333</v>
          </cell>
          <cell r="AK81">
            <v>125.33333333333333</v>
          </cell>
          <cell r="AL81">
            <v>9</v>
          </cell>
          <cell r="AM81">
            <v>6.1224489795918366E-2</v>
          </cell>
          <cell r="AN81">
            <v>34.291702482681906</v>
          </cell>
          <cell r="AO81">
            <v>36.678759417896586</v>
          </cell>
          <cell r="AP81">
            <v>39.679390138408301</v>
          </cell>
          <cell r="AQ81">
            <v>42.694046807543735</v>
          </cell>
          <cell r="AR81">
            <v>45.529598182253046</v>
          </cell>
          <cell r="AS81" t="str">
            <v/>
          </cell>
          <cell r="AV81">
            <v>45.529598182253046</v>
          </cell>
        </row>
        <row r="82">
          <cell r="A82" t="str">
            <v>Pediatrics: Endocrinology</v>
          </cell>
          <cell r="B82">
            <v>161253</v>
          </cell>
          <cell r="C82">
            <v>166675</v>
          </cell>
          <cell r="D82">
            <v>172712</v>
          </cell>
          <cell r="E82">
            <v>182724</v>
          </cell>
          <cell r="F82">
            <v>176438</v>
          </cell>
          <cell r="G82">
            <v>179600</v>
          </cell>
          <cell r="H82">
            <v>180061</v>
          </cell>
          <cell r="I82">
            <v>166880</v>
          </cell>
          <cell r="J82">
            <v>174037</v>
          </cell>
          <cell r="K82">
            <v>177291.33333333334</v>
          </cell>
          <cell r="L82">
            <v>179587.33333333334</v>
          </cell>
          <cell r="M82">
            <v>178699.66666666666</v>
          </cell>
          <cell r="N82">
            <v>3167</v>
          </cell>
          <cell r="O82">
            <v>3877</v>
          </cell>
          <cell r="P82">
            <v>3499</v>
          </cell>
          <cell r="Q82">
            <v>3403</v>
          </cell>
          <cell r="R82">
            <v>2846</v>
          </cell>
          <cell r="S82">
            <v>3472</v>
          </cell>
          <cell r="T82">
            <v>2782</v>
          </cell>
          <cell r="U82">
            <v>3514.3333333333335</v>
          </cell>
          <cell r="V82">
            <v>3593</v>
          </cell>
          <cell r="W82">
            <v>3249.3333333333335</v>
          </cell>
          <cell r="X82">
            <v>3240.3333333333335</v>
          </cell>
          <cell r="Y82">
            <v>3033.3333333333335</v>
          </cell>
          <cell r="Z82">
            <v>43</v>
          </cell>
          <cell r="AA82">
            <v>43</v>
          </cell>
          <cell r="AB82">
            <v>52</v>
          </cell>
          <cell r="AC82">
            <v>72</v>
          </cell>
          <cell r="AD82">
            <v>64</v>
          </cell>
          <cell r="AE82">
            <v>77</v>
          </cell>
          <cell r="AF82">
            <v>79</v>
          </cell>
          <cell r="AG82">
            <v>46</v>
          </cell>
          <cell r="AH82">
            <v>55.666666666666664</v>
          </cell>
          <cell r="AI82">
            <v>62.666666666666664</v>
          </cell>
          <cell r="AJ82">
            <v>71</v>
          </cell>
          <cell r="AK82">
            <v>73.333333333333329</v>
          </cell>
          <cell r="AL82">
            <v>4</v>
          </cell>
          <cell r="AM82">
            <v>5.1948051948051951E-2</v>
          </cell>
          <cell r="AN82">
            <v>47.485535426349237</v>
          </cell>
          <cell r="AO82">
            <v>48.437795713888114</v>
          </cell>
          <cell r="AP82">
            <v>54.562371768567914</v>
          </cell>
          <cell r="AQ82">
            <v>55.422487398415804</v>
          </cell>
          <cell r="AR82">
            <v>58.911978021978015</v>
          </cell>
          <cell r="AS82" t="str">
            <v/>
          </cell>
          <cell r="AV82">
            <v>58.911978021978015</v>
          </cell>
        </row>
        <row r="83">
          <cell r="A83" t="str">
            <v>Pediatrics: Gastroenterology</v>
          </cell>
          <cell r="B83">
            <v>213175</v>
          </cell>
          <cell r="C83">
            <v>213881</v>
          </cell>
          <cell r="D83">
            <v>208885</v>
          </cell>
          <cell r="E83">
            <v>233745</v>
          </cell>
          <cell r="F83">
            <v>226040</v>
          </cell>
          <cell r="G83">
            <v>235163</v>
          </cell>
          <cell r="H83">
            <v>231749</v>
          </cell>
          <cell r="I83">
            <v>211980.33333333334</v>
          </cell>
          <cell r="J83">
            <v>218837</v>
          </cell>
          <cell r="K83">
            <v>222890</v>
          </cell>
          <cell r="L83">
            <v>231649.33333333334</v>
          </cell>
          <cell r="M83">
            <v>230984</v>
          </cell>
          <cell r="N83">
            <v>4641</v>
          </cell>
          <cell r="O83">
            <v>4551</v>
          </cell>
          <cell r="P83">
            <v>4399</v>
          </cell>
          <cell r="Q83">
            <v>4171</v>
          </cell>
          <cell r="R83">
            <v>3795</v>
          </cell>
          <cell r="S83">
            <v>4303</v>
          </cell>
          <cell r="T83">
            <v>3760</v>
          </cell>
          <cell r="U83">
            <v>4530.333333333333</v>
          </cell>
          <cell r="V83">
            <v>4373.666666666667</v>
          </cell>
          <cell r="W83">
            <v>4121.666666666667</v>
          </cell>
          <cell r="X83">
            <v>4089.6666666666665</v>
          </cell>
          <cell r="Y83">
            <v>3952.6666666666665</v>
          </cell>
          <cell r="Z83">
            <v>85</v>
          </cell>
          <cell r="AA83">
            <v>60</v>
          </cell>
          <cell r="AB83">
            <v>59</v>
          </cell>
          <cell r="AC83">
            <v>96</v>
          </cell>
          <cell r="AD83">
            <v>77</v>
          </cell>
          <cell r="AE83">
            <v>117</v>
          </cell>
          <cell r="AF83">
            <v>121</v>
          </cell>
          <cell r="AG83">
            <v>68</v>
          </cell>
          <cell r="AH83">
            <v>71.666666666666671</v>
          </cell>
          <cell r="AI83">
            <v>77.333333333333329</v>
          </cell>
          <cell r="AJ83">
            <v>96.666666666666671</v>
          </cell>
          <cell r="AK83">
            <v>105</v>
          </cell>
          <cell r="AL83">
            <v>7</v>
          </cell>
          <cell r="AM83">
            <v>5.9829059829059832E-2</v>
          </cell>
          <cell r="AN83">
            <v>46.791332499448167</v>
          </cell>
          <cell r="AO83">
            <v>50.035134517186187</v>
          </cell>
          <cell r="AP83">
            <v>54.077638495754144</v>
          </cell>
          <cell r="AQ83">
            <v>56.64259515852963</v>
          </cell>
          <cell r="AR83">
            <v>58.437510541406645</v>
          </cell>
          <cell r="AS83" t="str">
            <v/>
          </cell>
          <cell r="AV83">
            <v>58.437510541406645</v>
          </cell>
        </row>
        <row r="84">
          <cell r="A84" t="str">
            <v>Pediatrics: General</v>
          </cell>
          <cell r="B84">
            <v>153063</v>
          </cell>
          <cell r="C84">
            <v>154062</v>
          </cell>
          <cell r="D84">
            <v>168492</v>
          </cell>
          <cell r="E84">
            <v>184708</v>
          </cell>
          <cell r="F84">
            <v>168290</v>
          </cell>
          <cell r="G84">
            <v>176112</v>
          </cell>
          <cell r="H84">
            <v>183718</v>
          </cell>
          <cell r="I84">
            <v>158539</v>
          </cell>
          <cell r="J84">
            <v>169087.33333333334</v>
          </cell>
          <cell r="K84">
            <v>173830</v>
          </cell>
          <cell r="L84">
            <v>176370</v>
          </cell>
          <cell r="M84">
            <v>176040</v>
          </cell>
          <cell r="N84">
            <v>4247</v>
          </cell>
          <cell r="O84">
            <v>4513</v>
          </cell>
          <cell r="P84">
            <v>5119</v>
          </cell>
          <cell r="Q84">
            <v>4721</v>
          </cell>
          <cell r="R84">
            <v>4045</v>
          </cell>
          <cell r="S84">
            <v>4051</v>
          </cell>
          <cell r="T84">
            <v>3821</v>
          </cell>
          <cell r="U84">
            <v>4626.333333333333</v>
          </cell>
          <cell r="V84">
            <v>4784.333333333333</v>
          </cell>
          <cell r="W84">
            <v>4628.333333333333</v>
          </cell>
          <cell r="X84">
            <v>4272.333333333333</v>
          </cell>
          <cell r="Y84">
            <v>3972.3333333333335</v>
          </cell>
          <cell r="Z84">
            <v>105</v>
          </cell>
          <cell r="AA84">
            <v>152</v>
          </cell>
          <cell r="AB84">
            <v>182</v>
          </cell>
          <cell r="AC84">
            <v>160</v>
          </cell>
          <cell r="AD84">
            <v>135</v>
          </cell>
          <cell r="AE84">
            <v>224</v>
          </cell>
          <cell r="AF84">
            <v>273</v>
          </cell>
          <cell r="AG84">
            <v>146.33333333333334</v>
          </cell>
          <cell r="AH84">
            <v>164.66666666666666</v>
          </cell>
          <cell r="AI84">
            <v>159</v>
          </cell>
          <cell r="AJ84">
            <v>173</v>
          </cell>
          <cell r="AK84">
            <v>210.66666666666666</v>
          </cell>
          <cell r="AL84">
            <v>17</v>
          </cell>
          <cell r="AM84">
            <v>7.5892857142857137E-2</v>
          </cell>
          <cell r="AN84">
            <v>34.268823402262413</v>
          </cell>
          <cell r="AO84">
            <v>35.341879746394483</v>
          </cell>
          <cell r="AP84">
            <v>37.55779618293122</v>
          </cell>
          <cell r="AQ84">
            <v>41.281891238199272</v>
          </cell>
          <cell r="AR84">
            <v>44.316522614752031</v>
          </cell>
          <cell r="AS84" t="str">
            <v/>
          </cell>
          <cell r="AV84">
            <v>44.316522614752031</v>
          </cell>
        </row>
        <row r="85">
          <cell r="A85" t="str">
            <v>Pediatrics: Genetics</v>
          </cell>
          <cell r="B85">
            <v>175503</v>
          </cell>
          <cell r="C85">
            <v>166293</v>
          </cell>
          <cell r="D85">
            <v>185889</v>
          </cell>
          <cell r="E85">
            <v>185353</v>
          </cell>
          <cell r="F85">
            <v>191239</v>
          </cell>
          <cell r="G85">
            <v>205728</v>
          </cell>
          <cell r="H85">
            <v>205127</v>
          </cell>
          <cell r="I85">
            <v>175895</v>
          </cell>
          <cell r="J85">
            <v>179178.33333333334</v>
          </cell>
          <cell r="K85">
            <v>187493.66666666666</v>
          </cell>
          <cell r="L85">
            <v>194106.66666666666</v>
          </cell>
          <cell r="M85">
            <v>200698</v>
          </cell>
          <cell r="N85">
            <v>1810</v>
          </cell>
          <cell r="O85">
            <v>2759</v>
          </cell>
          <cell r="P85">
            <v>1996</v>
          </cell>
          <cell r="Q85">
            <v>2143</v>
          </cell>
          <cell r="R85">
            <v>2607</v>
          </cell>
          <cell r="S85">
            <v>2327</v>
          </cell>
          <cell r="T85">
            <v>2136</v>
          </cell>
          <cell r="U85">
            <v>2188.3333333333335</v>
          </cell>
          <cell r="V85">
            <v>2299.3333333333335</v>
          </cell>
          <cell r="W85">
            <v>2248.6666666666665</v>
          </cell>
          <cell r="X85">
            <v>2359</v>
          </cell>
          <cell r="Y85">
            <v>2356.6666666666665</v>
          </cell>
          <cell r="Z85">
            <v>14</v>
          </cell>
          <cell r="AA85">
            <v>12</v>
          </cell>
          <cell r="AB85">
            <v>16</v>
          </cell>
          <cell r="AC85">
            <v>23</v>
          </cell>
          <cell r="AD85">
            <v>17</v>
          </cell>
          <cell r="AE85">
            <v>23</v>
          </cell>
          <cell r="AF85">
            <v>27</v>
          </cell>
          <cell r="AG85">
            <v>14</v>
          </cell>
          <cell r="AH85">
            <v>17</v>
          </cell>
          <cell r="AI85">
            <v>18.666666666666668</v>
          </cell>
          <cell r="AJ85">
            <v>21</v>
          </cell>
          <cell r="AK85">
            <v>22.333333333333332</v>
          </cell>
          <cell r="AL85">
            <v>5</v>
          </cell>
          <cell r="AM85">
            <v>0.21739130434782608</v>
          </cell>
          <cell r="AN85">
            <v>80.37852246763137</v>
          </cell>
          <cell r="AO85">
            <v>77.926210495795885</v>
          </cell>
          <cell r="AP85">
            <v>83.379928846723985</v>
          </cell>
          <cell r="AQ85">
            <v>82.283453440723463</v>
          </cell>
          <cell r="AR85">
            <v>85.161810466760969</v>
          </cell>
          <cell r="AS85" t="str">
            <v/>
          </cell>
          <cell r="AV85">
            <v>85.161810466760969</v>
          </cell>
        </row>
        <row r="86">
          <cell r="A86" t="str">
            <v>Pediatrics: Hematology/Oncology</v>
          </cell>
          <cell r="B86">
            <v>180857</v>
          </cell>
          <cell r="C86">
            <v>178156</v>
          </cell>
          <cell r="D86">
            <v>187367</v>
          </cell>
          <cell r="E86">
            <v>197528</v>
          </cell>
          <cell r="F86">
            <v>201237</v>
          </cell>
          <cell r="G86">
            <v>205843</v>
          </cell>
          <cell r="H86">
            <v>200922</v>
          </cell>
          <cell r="I86">
            <v>182126.66666666666</v>
          </cell>
          <cell r="J86">
            <v>187683.66666666666</v>
          </cell>
          <cell r="K86">
            <v>195377.33333333334</v>
          </cell>
          <cell r="L86">
            <v>201536</v>
          </cell>
          <cell r="M86">
            <v>202667.33333333334</v>
          </cell>
          <cell r="N86">
            <v>3060</v>
          </cell>
          <cell r="O86">
            <v>4170</v>
          </cell>
          <cell r="P86">
            <v>4245</v>
          </cell>
          <cell r="Q86">
            <v>3327</v>
          </cell>
          <cell r="R86">
            <v>3074</v>
          </cell>
          <cell r="S86">
            <v>3008</v>
          </cell>
          <cell r="T86">
            <v>2925</v>
          </cell>
          <cell r="U86">
            <v>3825</v>
          </cell>
          <cell r="V86">
            <v>3914</v>
          </cell>
          <cell r="W86">
            <v>3548.6666666666665</v>
          </cell>
          <cell r="X86">
            <v>3136.3333333333335</v>
          </cell>
          <cell r="Y86">
            <v>3002.3333333333335</v>
          </cell>
          <cell r="Z86">
            <v>67</v>
          </cell>
          <cell r="AA86">
            <v>32</v>
          </cell>
          <cell r="AB86">
            <v>47</v>
          </cell>
          <cell r="AC86">
            <v>83</v>
          </cell>
          <cell r="AD86">
            <v>82</v>
          </cell>
          <cell r="AE86">
            <v>98</v>
          </cell>
          <cell r="AF86">
            <v>121</v>
          </cell>
          <cell r="AG86">
            <v>48.666666666666664</v>
          </cell>
          <cell r="AH86">
            <v>54</v>
          </cell>
          <cell r="AI86">
            <v>70.666666666666671</v>
          </cell>
          <cell r="AJ86">
            <v>87.666666666666671</v>
          </cell>
          <cell r="AK86">
            <v>100.33333333333333</v>
          </cell>
          <cell r="AL86">
            <v>15</v>
          </cell>
          <cell r="AM86">
            <v>0.15306122448979592</v>
          </cell>
          <cell r="AN86">
            <v>47.614814814814814</v>
          </cell>
          <cell r="AO86">
            <v>47.951882132515756</v>
          </cell>
          <cell r="AP86">
            <v>55.056547059928619</v>
          </cell>
          <cell r="AQ86">
            <v>64.258475927303635</v>
          </cell>
          <cell r="AR86">
            <v>67.503275230376374</v>
          </cell>
          <cell r="AS86" t="str">
            <v/>
          </cell>
          <cell r="AV86">
            <v>67.503275230376374</v>
          </cell>
        </row>
        <row r="87">
          <cell r="A87" t="str">
            <v>Pediatrics: Hospitalist</v>
          </cell>
          <cell r="B87">
            <v>163823</v>
          </cell>
          <cell r="C87">
            <v>168728</v>
          </cell>
          <cell r="D87">
            <v>176188</v>
          </cell>
          <cell r="E87">
            <v>185850</v>
          </cell>
          <cell r="F87">
            <v>195287</v>
          </cell>
          <cell r="G87">
            <v>191258</v>
          </cell>
          <cell r="H87">
            <v>189646</v>
          </cell>
          <cell r="I87">
            <v>169579.66666666666</v>
          </cell>
          <cell r="J87">
            <v>176922</v>
          </cell>
          <cell r="K87">
            <v>185775</v>
          </cell>
          <cell r="L87">
            <v>190798.33333333334</v>
          </cell>
          <cell r="M87">
            <v>192063.66666666666</v>
          </cell>
          <cell r="N87">
            <v>2744</v>
          </cell>
          <cell r="O87">
            <v>3202</v>
          </cell>
          <cell r="P87">
            <v>3384</v>
          </cell>
          <cell r="Q87">
            <v>3112</v>
          </cell>
          <cell r="R87">
            <v>2093</v>
          </cell>
          <cell r="S87">
            <v>2546</v>
          </cell>
          <cell r="T87">
            <v>2003</v>
          </cell>
          <cell r="U87">
            <v>3110</v>
          </cell>
          <cell r="V87">
            <v>3232.6666666666665</v>
          </cell>
          <cell r="W87">
            <v>2863</v>
          </cell>
          <cell r="X87">
            <v>2583.6666666666665</v>
          </cell>
          <cell r="Y87">
            <v>2214</v>
          </cell>
          <cell r="Z87">
            <v>59</v>
          </cell>
          <cell r="AA87">
            <v>64</v>
          </cell>
          <cell r="AB87">
            <v>105</v>
          </cell>
          <cell r="AC87">
            <v>121</v>
          </cell>
          <cell r="AD87">
            <v>167</v>
          </cell>
          <cell r="AE87">
            <v>193</v>
          </cell>
          <cell r="AF87">
            <v>262</v>
          </cell>
          <cell r="AG87">
            <v>76</v>
          </cell>
          <cell r="AH87">
            <v>96.666666666666671</v>
          </cell>
          <cell r="AI87">
            <v>131</v>
          </cell>
          <cell r="AJ87">
            <v>160.33333333333334</v>
          </cell>
          <cell r="AK87">
            <v>207.33333333333334</v>
          </cell>
          <cell r="AL87">
            <v>14</v>
          </cell>
          <cell r="AM87">
            <v>7.2538860103626937E-2</v>
          </cell>
          <cell r="AN87">
            <v>54.527224008574485</v>
          </cell>
          <cell r="AO87">
            <v>54.72942874819551</v>
          </cell>
          <cell r="AP87">
            <v>64.888229130282923</v>
          </cell>
          <cell r="AQ87">
            <v>73.847890594761978</v>
          </cell>
          <cell r="AR87">
            <v>86.749623607347175</v>
          </cell>
          <cell r="AS87" t="str">
            <v/>
          </cell>
          <cell r="AV87">
            <v>86.749623607347175</v>
          </cell>
        </row>
        <row r="88">
          <cell r="A88" t="str">
            <v>Pediatrics: Hospitalist-Internal Medicine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*</v>
          </cell>
          <cell r="O88" t="str">
            <v>*</v>
          </cell>
          <cell r="P88" t="str">
            <v>*</v>
          </cell>
          <cell r="Q88" t="str">
            <v>*</v>
          </cell>
          <cell r="R88" t="str">
            <v>*</v>
          </cell>
          <cell r="S88" t="str">
            <v>*</v>
          </cell>
          <cell r="T88" t="str">
            <v>*</v>
          </cell>
          <cell r="U88" t="str">
            <v>*</v>
          </cell>
          <cell r="V88" t="str">
            <v>*</v>
          </cell>
          <cell r="W88" t="str">
            <v>*</v>
          </cell>
          <cell r="X88" t="str">
            <v>*</v>
          </cell>
          <cell r="Y88" t="str">
            <v>*</v>
          </cell>
          <cell r="Z88">
            <v>2</v>
          </cell>
          <cell r="AA88">
            <v>1</v>
          </cell>
          <cell r="AB88">
            <v>1</v>
          </cell>
          <cell r="AC88">
            <v>6</v>
          </cell>
          <cell r="AD88">
            <v>3</v>
          </cell>
          <cell r="AE88">
            <v>7</v>
          </cell>
          <cell r="AF88">
            <v>7</v>
          </cell>
          <cell r="AG88">
            <v>1.3333333333333333</v>
          </cell>
          <cell r="AH88">
            <v>2.6666666666666665</v>
          </cell>
          <cell r="AI88">
            <v>3.3333333333333335</v>
          </cell>
          <cell r="AJ88">
            <v>5.333333333333333</v>
          </cell>
          <cell r="AK88">
            <v>5.666666666666667</v>
          </cell>
          <cell r="AL88">
            <v>0</v>
          </cell>
          <cell r="AM88">
            <v>0</v>
          </cell>
          <cell r="AN88" t="str">
            <v>*</v>
          </cell>
          <cell r="AO88" t="str">
            <v>*</v>
          </cell>
          <cell r="AP88" t="str">
            <v>*</v>
          </cell>
          <cell r="AQ88" t="str">
            <v>*</v>
          </cell>
          <cell r="AR88" t="str">
            <v>*</v>
          </cell>
          <cell r="AS88" t="str">
            <v>Low N</v>
          </cell>
          <cell r="AT88" t="str">
            <v>Pediatrics: General</v>
          </cell>
          <cell r="AU88">
            <v>44.316522614752031</v>
          </cell>
          <cell r="AV88">
            <v>44.316522614752031</v>
          </cell>
        </row>
        <row r="89">
          <cell r="A89" t="str">
            <v>Pediatrics: Infectious Disease</v>
          </cell>
          <cell r="B89">
            <v>160009</v>
          </cell>
          <cell r="C89">
            <v>161704</v>
          </cell>
          <cell r="D89">
            <v>162365</v>
          </cell>
          <cell r="E89">
            <v>177208</v>
          </cell>
          <cell r="F89">
            <v>187672</v>
          </cell>
          <cell r="G89">
            <v>189381</v>
          </cell>
          <cell r="H89">
            <v>180467</v>
          </cell>
          <cell r="I89">
            <v>161359.33333333334</v>
          </cell>
          <cell r="J89">
            <v>167092.33333333334</v>
          </cell>
          <cell r="K89">
            <v>175748.33333333334</v>
          </cell>
          <cell r="L89">
            <v>184753.66666666666</v>
          </cell>
          <cell r="M89">
            <v>185840</v>
          </cell>
          <cell r="N89">
            <v>2530</v>
          </cell>
          <cell r="O89" t="str">
            <v>*</v>
          </cell>
          <cell r="P89">
            <v>2853</v>
          </cell>
          <cell r="Q89">
            <v>2626</v>
          </cell>
          <cell r="R89">
            <v>1683</v>
          </cell>
          <cell r="S89">
            <v>1802</v>
          </cell>
          <cell r="T89">
            <v>1824</v>
          </cell>
          <cell r="U89">
            <v>2691.5</v>
          </cell>
          <cell r="V89">
            <v>2739.5</v>
          </cell>
          <cell r="W89">
            <v>2387.3333333333335</v>
          </cell>
          <cell r="X89">
            <v>2037</v>
          </cell>
          <cell r="Y89">
            <v>1769.6666666666667</v>
          </cell>
          <cell r="Z89">
            <v>16</v>
          </cell>
          <cell r="AA89">
            <v>6</v>
          </cell>
          <cell r="AB89">
            <v>16</v>
          </cell>
          <cell r="AC89">
            <v>16</v>
          </cell>
          <cell r="AD89">
            <v>17</v>
          </cell>
          <cell r="AE89">
            <v>20</v>
          </cell>
          <cell r="AF89">
            <v>19</v>
          </cell>
          <cell r="AG89">
            <v>12.666666666666666</v>
          </cell>
          <cell r="AH89">
            <v>12.666666666666666</v>
          </cell>
          <cell r="AI89">
            <v>16.333333333333332</v>
          </cell>
          <cell r="AJ89">
            <v>17.666666666666668</v>
          </cell>
          <cell r="AK89">
            <v>18.666666666666668</v>
          </cell>
          <cell r="AL89">
            <v>4</v>
          </cell>
          <cell r="AM89">
            <v>0.2</v>
          </cell>
          <cell r="AN89">
            <v>59.95145210229736</v>
          </cell>
          <cell r="AO89">
            <v>60.993733649692771</v>
          </cell>
          <cell r="AP89">
            <v>73.617006422786929</v>
          </cell>
          <cell r="AQ89">
            <v>90.698903616429391</v>
          </cell>
          <cell r="AR89">
            <v>105.01412695422866</v>
          </cell>
          <cell r="AS89" t="str">
            <v/>
          </cell>
          <cell r="AV89">
            <v>105.01412695422866</v>
          </cell>
        </row>
        <row r="90">
          <cell r="A90" t="str">
            <v>Pediatrics: Internal Medicine</v>
          </cell>
          <cell r="B90">
            <v>152975</v>
          </cell>
          <cell r="C90">
            <v>164785</v>
          </cell>
          <cell r="D90">
            <v>198511</v>
          </cell>
          <cell r="E90">
            <v>201719</v>
          </cell>
          <cell r="F90" t="str">
            <v>*</v>
          </cell>
          <cell r="G90" t="str">
            <v>*</v>
          </cell>
          <cell r="H90" t="str">
            <v>*</v>
          </cell>
          <cell r="I90">
            <v>172090.33333333334</v>
          </cell>
          <cell r="J90">
            <v>188338.33333333334</v>
          </cell>
          <cell r="K90">
            <v>200115</v>
          </cell>
          <cell r="L90">
            <v>201719</v>
          </cell>
          <cell r="M90" t="str">
            <v>*</v>
          </cell>
          <cell r="N90" t="str">
            <v>*</v>
          </cell>
          <cell r="O90" t="str">
            <v>*</v>
          </cell>
          <cell r="P90" t="str">
            <v>*</v>
          </cell>
          <cell r="Q90" t="str">
            <v>*</v>
          </cell>
          <cell r="R90" t="str">
            <v>*</v>
          </cell>
          <cell r="S90" t="str">
            <v>*</v>
          </cell>
          <cell r="T90" t="str">
            <v>*</v>
          </cell>
          <cell r="U90" t="str">
            <v>*</v>
          </cell>
          <cell r="V90" t="str">
            <v>*</v>
          </cell>
          <cell r="W90" t="str">
            <v>*</v>
          </cell>
          <cell r="X90" t="str">
            <v>*</v>
          </cell>
          <cell r="Y90" t="str">
            <v>*</v>
          </cell>
          <cell r="Z90">
            <v>4</v>
          </cell>
          <cell r="AA90">
            <v>4</v>
          </cell>
          <cell r="AB90">
            <v>3</v>
          </cell>
          <cell r="AC90">
            <v>8</v>
          </cell>
          <cell r="AD90">
            <v>19</v>
          </cell>
          <cell r="AE90">
            <v>2</v>
          </cell>
          <cell r="AF90">
            <v>10</v>
          </cell>
          <cell r="AG90">
            <v>3.6666666666666665</v>
          </cell>
          <cell r="AH90">
            <v>5</v>
          </cell>
          <cell r="AI90">
            <v>10</v>
          </cell>
          <cell r="AJ90">
            <v>9.6666666666666661</v>
          </cell>
          <cell r="AK90">
            <v>10.333333333333334</v>
          </cell>
          <cell r="AL90">
            <v>0</v>
          </cell>
          <cell r="AM90">
            <v>0</v>
          </cell>
          <cell r="AN90" t="str">
            <v>*</v>
          </cell>
          <cell r="AO90" t="str">
            <v>*</v>
          </cell>
          <cell r="AP90" t="str">
            <v>*</v>
          </cell>
          <cell r="AQ90" t="str">
            <v>*</v>
          </cell>
          <cell r="AR90" t="str">
            <v>*</v>
          </cell>
          <cell r="AS90" t="str">
            <v>Low N</v>
          </cell>
          <cell r="AT90" t="str">
            <v>Pediatrics: General</v>
          </cell>
          <cell r="AU90">
            <v>44.316522614752031</v>
          </cell>
          <cell r="AV90">
            <v>44.316522614752031</v>
          </cell>
        </row>
        <row r="91">
          <cell r="A91" t="str">
            <v>Pediatrics: Neonatal Medicine</v>
          </cell>
          <cell r="B91">
            <v>239101</v>
          </cell>
          <cell r="C91">
            <v>250525</v>
          </cell>
          <cell r="D91">
            <v>252711</v>
          </cell>
          <cell r="E91">
            <v>279125</v>
          </cell>
          <cell r="F91">
            <v>282858</v>
          </cell>
          <cell r="G91">
            <v>297889</v>
          </cell>
          <cell r="H91">
            <v>308520</v>
          </cell>
          <cell r="I91">
            <v>247445.66666666666</v>
          </cell>
          <cell r="J91">
            <v>260787</v>
          </cell>
          <cell r="K91">
            <v>271564.66666666669</v>
          </cell>
          <cell r="L91">
            <v>286624</v>
          </cell>
          <cell r="M91">
            <v>296422.33333333331</v>
          </cell>
          <cell r="N91">
            <v>10596</v>
          </cell>
          <cell r="O91">
            <v>12037</v>
          </cell>
          <cell r="P91">
            <v>12163</v>
          </cell>
          <cell r="Q91">
            <v>11831</v>
          </cell>
          <cell r="R91">
            <v>10866</v>
          </cell>
          <cell r="S91">
            <v>10975</v>
          </cell>
          <cell r="T91">
            <v>10259</v>
          </cell>
          <cell r="U91">
            <v>11598.666666666666</v>
          </cell>
          <cell r="V91">
            <v>12010.333333333334</v>
          </cell>
          <cell r="W91">
            <v>11620</v>
          </cell>
          <cell r="X91">
            <v>11224</v>
          </cell>
          <cell r="Y91">
            <v>10700</v>
          </cell>
          <cell r="Z91">
            <v>147</v>
          </cell>
          <cell r="AA91">
            <v>103</v>
          </cell>
          <cell r="AB91">
            <v>146</v>
          </cell>
          <cell r="AC91">
            <v>168</v>
          </cell>
          <cell r="AD91">
            <v>174</v>
          </cell>
          <cell r="AE91">
            <v>223</v>
          </cell>
          <cell r="AF91">
            <v>244</v>
          </cell>
          <cell r="AG91">
            <v>132</v>
          </cell>
          <cell r="AH91">
            <v>139</v>
          </cell>
          <cell r="AI91">
            <v>162.66666666666666</v>
          </cell>
          <cell r="AJ91">
            <v>188.33333333333334</v>
          </cell>
          <cell r="AK91">
            <v>213.66666666666666</v>
          </cell>
          <cell r="AL91">
            <v>12</v>
          </cell>
          <cell r="AM91">
            <v>5.3811659192825115E-2</v>
          </cell>
          <cell r="AN91">
            <v>21.333975169559722</v>
          </cell>
          <cell r="AO91">
            <v>21.713552218922594</v>
          </cell>
          <cell r="AP91">
            <v>23.370453241537582</v>
          </cell>
          <cell r="AQ91">
            <v>25.536707056307911</v>
          </cell>
          <cell r="AR91">
            <v>27.703021806853581</v>
          </cell>
          <cell r="AS91" t="str">
            <v/>
          </cell>
          <cell r="AV91">
            <v>27.703021806853581</v>
          </cell>
        </row>
        <row r="92">
          <cell r="A92" t="str">
            <v>Pediatrics: Nephrology</v>
          </cell>
          <cell r="B92">
            <v>184127</v>
          </cell>
          <cell r="C92">
            <v>186889</v>
          </cell>
          <cell r="D92">
            <v>187550</v>
          </cell>
          <cell r="E92">
            <v>202574</v>
          </cell>
          <cell r="F92">
            <v>202245</v>
          </cell>
          <cell r="G92">
            <v>202340</v>
          </cell>
          <cell r="H92">
            <v>214930</v>
          </cell>
          <cell r="I92">
            <v>186188.66666666666</v>
          </cell>
          <cell r="J92">
            <v>192337.66666666666</v>
          </cell>
          <cell r="K92">
            <v>197456.33333333334</v>
          </cell>
          <cell r="L92">
            <v>202386.33333333334</v>
          </cell>
          <cell r="M92">
            <v>206505</v>
          </cell>
          <cell r="N92">
            <v>3685</v>
          </cell>
          <cell r="O92">
            <v>3522</v>
          </cell>
          <cell r="P92">
            <v>3867</v>
          </cell>
          <cell r="Q92">
            <v>3410</v>
          </cell>
          <cell r="R92">
            <v>3295</v>
          </cell>
          <cell r="S92">
            <v>3764</v>
          </cell>
          <cell r="T92">
            <v>3198</v>
          </cell>
          <cell r="U92">
            <v>3691.3333333333335</v>
          </cell>
          <cell r="V92">
            <v>3599.6666666666665</v>
          </cell>
          <cell r="W92">
            <v>3524</v>
          </cell>
          <cell r="X92">
            <v>3489.6666666666665</v>
          </cell>
          <cell r="Y92">
            <v>3419</v>
          </cell>
          <cell r="Z92">
            <v>38</v>
          </cell>
          <cell r="AA92">
            <v>21</v>
          </cell>
          <cell r="AB92">
            <v>28</v>
          </cell>
          <cell r="AC92">
            <v>38</v>
          </cell>
          <cell r="AD92">
            <v>48</v>
          </cell>
          <cell r="AE92">
            <v>44</v>
          </cell>
          <cell r="AF92">
            <v>43</v>
          </cell>
          <cell r="AG92">
            <v>29</v>
          </cell>
          <cell r="AH92">
            <v>29</v>
          </cell>
          <cell r="AI92">
            <v>38</v>
          </cell>
          <cell r="AJ92">
            <v>43.333333333333336</v>
          </cell>
          <cell r="AK92">
            <v>45</v>
          </cell>
          <cell r="AL92">
            <v>4</v>
          </cell>
          <cell r="AM92">
            <v>9.0909090909090912E-2</v>
          </cell>
          <cell r="AN92">
            <v>50.439407621455658</v>
          </cell>
          <cell r="AO92">
            <v>53.432077044170754</v>
          </cell>
          <cell r="AP92">
            <v>56.031876655315934</v>
          </cell>
          <cell r="AQ92">
            <v>57.995892635399755</v>
          </cell>
          <cell r="AR92">
            <v>60.399239543726239</v>
          </cell>
          <cell r="AS92" t="str">
            <v/>
          </cell>
          <cell r="AV92">
            <v>60.399239543726239</v>
          </cell>
        </row>
        <row r="93">
          <cell r="A93" t="str">
            <v>Pediatrics: Neurosurgery</v>
          </cell>
          <cell r="B93">
            <v>530093</v>
          </cell>
          <cell r="C93">
            <v>546270</v>
          </cell>
          <cell r="D93">
            <v>829850</v>
          </cell>
          <cell r="E93" t="str">
            <v>*</v>
          </cell>
          <cell r="F93">
            <v>529500</v>
          </cell>
          <cell r="G93">
            <v>586295</v>
          </cell>
          <cell r="H93">
            <v>578993</v>
          </cell>
          <cell r="I93">
            <v>635404.33333333337</v>
          </cell>
          <cell r="J93">
            <v>688060</v>
          </cell>
          <cell r="K93">
            <v>679675</v>
          </cell>
          <cell r="L93">
            <v>557897.5</v>
          </cell>
          <cell r="M93">
            <v>564929.33333333337</v>
          </cell>
          <cell r="N93">
            <v>8491</v>
          </cell>
          <cell r="O93" t="str">
            <v>*</v>
          </cell>
          <cell r="P93" t="str">
            <v>*</v>
          </cell>
          <cell r="Q93" t="str">
            <v>*</v>
          </cell>
          <cell r="R93">
            <v>6411</v>
          </cell>
          <cell r="S93">
            <v>6964</v>
          </cell>
          <cell r="T93">
            <v>6713</v>
          </cell>
          <cell r="U93">
            <v>8491</v>
          </cell>
          <cell r="V93" t="str">
            <v>*</v>
          </cell>
          <cell r="W93">
            <v>6411</v>
          </cell>
          <cell r="X93">
            <v>6687.5</v>
          </cell>
          <cell r="Y93">
            <v>6696</v>
          </cell>
          <cell r="Z93">
            <v>11</v>
          </cell>
          <cell r="AA93">
            <v>8</v>
          </cell>
          <cell r="AB93">
            <v>7</v>
          </cell>
          <cell r="AC93">
            <v>0</v>
          </cell>
          <cell r="AD93">
            <v>15</v>
          </cell>
          <cell r="AE93">
            <v>23</v>
          </cell>
          <cell r="AF93">
            <v>20</v>
          </cell>
          <cell r="AG93">
            <v>8.6666666666666661</v>
          </cell>
          <cell r="AH93">
            <v>5</v>
          </cell>
          <cell r="AI93">
            <v>7.333333333333333</v>
          </cell>
          <cell r="AJ93">
            <v>12.666666666666666</v>
          </cell>
          <cell r="AK93">
            <v>19.333333333333332</v>
          </cell>
          <cell r="AL93">
            <v>0</v>
          </cell>
          <cell r="AM93">
            <v>0</v>
          </cell>
          <cell r="AN93">
            <v>74.832685588662514</v>
          </cell>
          <cell r="AO93" t="str">
            <v>*</v>
          </cell>
          <cell r="AP93">
            <v>106.01700202776478</v>
          </cell>
          <cell r="AQ93">
            <v>83.423925233644866</v>
          </cell>
          <cell r="AR93">
            <v>84.368180007964966</v>
          </cell>
          <cell r="AS93" t="str">
            <v/>
          </cell>
          <cell r="AV93">
            <v>84.368180007964966</v>
          </cell>
        </row>
        <row r="94">
          <cell r="A94" t="str">
            <v>Pediatrics: Neurology</v>
          </cell>
          <cell r="B94">
            <v>199306</v>
          </cell>
          <cell r="C94">
            <v>186613</v>
          </cell>
          <cell r="D94">
            <v>209590</v>
          </cell>
          <cell r="E94">
            <v>215837</v>
          </cell>
          <cell r="F94">
            <v>221689</v>
          </cell>
          <cell r="G94">
            <v>218923</v>
          </cell>
          <cell r="H94">
            <v>222400</v>
          </cell>
          <cell r="I94">
            <v>198503</v>
          </cell>
          <cell r="J94">
            <v>204013.33333333334</v>
          </cell>
          <cell r="K94">
            <v>215705.33333333334</v>
          </cell>
          <cell r="L94">
            <v>218816.33333333334</v>
          </cell>
          <cell r="M94">
            <v>221004</v>
          </cell>
          <cell r="N94">
            <v>4685</v>
          </cell>
          <cell r="O94">
            <v>3988</v>
          </cell>
          <cell r="P94">
            <v>3820</v>
          </cell>
          <cell r="Q94">
            <v>3744</v>
          </cell>
          <cell r="R94">
            <v>3547</v>
          </cell>
          <cell r="S94">
            <v>3736</v>
          </cell>
          <cell r="T94">
            <v>3523</v>
          </cell>
          <cell r="U94">
            <v>4164.333333333333</v>
          </cell>
          <cell r="V94">
            <v>3850.6666666666665</v>
          </cell>
          <cell r="W94">
            <v>3703.6666666666665</v>
          </cell>
          <cell r="X94">
            <v>3675.6666666666665</v>
          </cell>
          <cell r="Y94">
            <v>3602</v>
          </cell>
          <cell r="Z94">
            <v>70</v>
          </cell>
          <cell r="AA94">
            <v>56</v>
          </cell>
          <cell r="AB94">
            <v>65</v>
          </cell>
          <cell r="AC94">
            <v>70</v>
          </cell>
          <cell r="AD94">
            <v>83</v>
          </cell>
          <cell r="AE94">
            <v>121</v>
          </cell>
          <cell r="AF94">
            <v>127</v>
          </cell>
          <cell r="AG94">
            <v>63.666666666666664</v>
          </cell>
          <cell r="AH94">
            <v>63.666666666666664</v>
          </cell>
          <cell r="AI94">
            <v>72.666666666666671</v>
          </cell>
          <cell r="AJ94">
            <v>91.333333333333329</v>
          </cell>
          <cell r="AK94">
            <v>110.33333333333333</v>
          </cell>
          <cell r="AL94">
            <v>8</v>
          </cell>
          <cell r="AM94">
            <v>6.6115702479338845E-2</v>
          </cell>
          <cell r="AN94">
            <v>47.667413751700956</v>
          </cell>
          <cell r="AO94">
            <v>52.981301939058177</v>
          </cell>
          <cell r="AP94">
            <v>58.241022410224105</v>
          </cell>
          <cell r="AQ94">
            <v>59.53106012514737</v>
          </cell>
          <cell r="AR94">
            <v>61.355913381454748</v>
          </cell>
          <cell r="AS94" t="str">
            <v/>
          </cell>
          <cell r="AV94">
            <v>61.355913381454748</v>
          </cell>
        </row>
        <row r="95">
          <cell r="A95" t="str">
            <v>Pediatrics: Ophthalmology</v>
          </cell>
          <cell r="B95">
            <v>288548</v>
          </cell>
          <cell r="C95">
            <v>254236</v>
          </cell>
          <cell r="D95">
            <v>311418</v>
          </cell>
          <cell r="E95">
            <v>319625</v>
          </cell>
          <cell r="F95">
            <v>261250</v>
          </cell>
          <cell r="G95">
            <v>296882</v>
          </cell>
          <cell r="H95">
            <v>307772</v>
          </cell>
          <cell r="I95">
            <v>284734</v>
          </cell>
          <cell r="J95">
            <v>295093</v>
          </cell>
          <cell r="K95">
            <v>297431</v>
          </cell>
          <cell r="L95">
            <v>292585.66666666669</v>
          </cell>
          <cell r="M95">
            <v>288634.66666666669</v>
          </cell>
          <cell r="N95">
            <v>6869</v>
          </cell>
          <cell r="O95">
            <v>6969</v>
          </cell>
          <cell r="P95">
            <v>8257</v>
          </cell>
          <cell r="Q95">
            <v>6733</v>
          </cell>
          <cell r="R95">
            <v>6693</v>
          </cell>
          <cell r="S95">
            <v>6911</v>
          </cell>
          <cell r="T95">
            <v>6459</v>
          </cell>
          <cell r="U95">
            <v>7365</v>
          </cell>
          <cell r="V95">
            <v>7319.666666666667</v>
          </cell>
          <cell r="W95">
            <v>7227.666666666667</v>
          </cell>
          <cell r="X95">
            <v>6779</v>
          </cell>
          <cell r="Y95">
            <v>6687.666666666667</v>
          </cell>
          <cell r="Z95">
            <v>19</v>
          </cell>
          <cell r="AA95">
            <v>21</v>
          </cell>
          <cell r="AB95">
            <v>19</v>
          </cell>
          <cell r="AC95">
            <v>25</v>
          </cell>
          <cell r="AD95">
            <v>18</v>
          </cell>
          <cell r="AE95">
            <v>34</v>
          </cell>
          <cell r="AF95">
            <v>37</v>
          </cell>
          <cell r="AG95">
            <v>19.666666666666668</v>
          </cell>
          <cell r="AH95">
            <v>21.666666666666668</v>
          </cell>
          <cell r="AI95">
            <v>20.666666666666668</v>
          </cell>
          <cell r="AJ95">
            <v>25.666666666666668</v>
          </cell>
          <cell r="AK95">
            <v>29.666666666666668</v>
          </cell>
          <cell r="AL95">
            <v>1</v>
          </cell>
          <cell r="AM95">
            <v>2.9411764705882353E-2</v>
          </cell>
          <cell r="AN95">
            <v>38.66042090970808</v>
          </cell>
          <cell r="AO95">
            <v>40.3150872079785</v>
          </cell>
          <cell r="AP95">
            <v>41.151731771433838</v>
          </cell>
          <cell r="AQ95">
            <v>43.160593991247481</v>
          </cell>
          <cell r="AR95">
            <v>43.159248367641929</v>
          </cell>
          <cell r="AS95" t="str">
            <v/>
          </cell>
          <cell r="AV95">
            <v>43.159248367641929</v>
          </cell>
        </row>
        <row r="96">
          <cell r="A96" t="str">
            <v>Pediatrics: Orthopedic Surgery</v>
          </cell>
          <cell r="B96">
            <v>484301</v>
          </cell>
          <cell r="C96">
            <v>530499</v>
          </cell>
          <cell r="D96">
            <v>469614</v>
          </cell>
          <cell r="E96">
            <v>465990</v>
          </cell>
          <cell r="F96">
            <v>439189</v>
          </cell>
          <cell r="G96">
            <v>485356</v>
          </cell>
          <cell r="H96">
            <v>494542</v>
          </cell>
          <cell r="I96">
            <v>494804.66666666669</v>
          </cell>
          <cell r="J96">
            <v>488701</v>
          </cell>
          <cell r="K96">
            <v>458264.33333333331</v>
          </cell>
          <cell r="L96">
            <v>463511.66666666669</v>
          </cell>
          <cell r="M96">
            <v>473029</v>
          </cell>
          <cell r="N96">
            <v>7293</v>
          </cell>
          <cell r="O96">
            <v>8046</v>
          </cell>
          <cell r="P96">
            <v>6934</v>
          </cell>
          <cell r="Q96">
            <v>7138</v>
          </cell>
          <cell r="R96">
            <v>6486</v>
          </cell>
          <cell r="S96">
            <v>6465</v>
          </cell>
          <cell r="T96">
            <v>6254</v>
          </cell>
          <cell r="U96">
            <v>7424.333333333333</v>
          </cell>
          <cell r="V96">
            <v>7372.666666666667</v>
          </cell>
          <cell r="W96">
            <v>6852.666666666667</v>
          </cell>
          <cell r="X96">
            <v>6696.333333333333</v>
          </cell>
          <cell r="Y96">
            <v>6401.666666666667</v>
          </cell>
          <cell r="Z96">
            <v>71</v>
          </cell>
          <cell r="AA96">
            <v>38</v>
          </cell>
          <cell r="AB96">
            <v>43</v>
          </cell>
          <cell r="AC96">
            <v>72</v>
          </cell>
          <cell r="AD96">
            <v>80</v>
          </cell>
          <cell r="AE96">
            <v>71</v>
          </cell>
          <cell r="AF96">
            <v>71</v>
          </cell>
          <cell r="AG96">
            <v>50.666666666666664</v>
          </cell>
          <cell r="AH96">
            <v>51</v>
          </cell>
          <cell r="AI96">
            <v>65</v>
          </cell>
          <cell r="AJ96">
            <v>74.333333333333329</v>
          </cell>
          <cell r="AK96">
            <v>74</v>
          </cell>
          <cell r="AL96">
            <v>4</v>
          </cell>
          <cell r="AM96">
            <v>5.6338028169014086E-2</v>
          </cell>
          <cell r="AN96">
            <v>66.646343106002789</v>
          </cell>
          <cell r="AO96">
            <v>66.285514060945829</v>
          </cell>
          <cell r="AP96">
            <v>66.873869053409862</v>
          </cell>
          <cell r="AQ96">
            <v>69.218726666334817</v>
          </cell>
          <cell r="AR96">
            <v>73.89153866180682</v>
          </cell>
          <cell r="AS96" t="str">
            <v/>
          </cell>
          <cell r="AV96">
            <v>73.89153866180682</v>
          </cell>
        </row>
        <row r="97">
          <cell r="A97" t="str">
            <v>Pediatrics: Otorhinolaryngology</v>
          </cell>
          <cell r="B97">
            <v>406387</v>
          </cell>
          <cell r="C97">
            <v>397791</v>
          </cell>
          <cell r="D97">
            <v>380919</v>
          </cell>
          <cell r="E97">
            <v>401961</v>
          </cell>
          <cell r="F97">
            <v>422314</v>
          </cell>
          <cell r="G97">
            <v>410235</v>
          </cell>
          <cell r="H97">
            <v>434038</v>
          </cell>
          <cell r="I97">
            <v>395032.33333333331</v>
          </cell>
          <cell r="J97">
            <v>393557</v>
          </cell>
          <cell r="K97">
            <v>401731.33333333331</v>
          </cell>
          <cell r="L97">
            <v>411503.33333333331</v>
          </cell>
          <cell r="M97">
            <v>422195.66666666669</v>
          </cell>
          <cell r="N97">
            <v>8559</v>
          </cell>
          <cell r="O97">
            <v>6975</v>
          </cell>
          <cell r="P97">
            <v>7599</v>
          </cell>
          <cell r="Q97">
            <v>7384</v>
          </cell>
          <cell r="R97">
            <v>7955</v>
          </cell>
          <cell r="S97">
            <v>7625</v>
          </cell>
          <cell r="T97">
            <v>7349</v>
          </cell>
          <cell r="U97">
            <v>7711</v>
          </cell>
          <cell r="V97">
            <v>7319.333333333333</v>
          </cell>
          <cell r="W97">
            <v>7646</v>
          </cell>
          <cell r="X97">
            <v>7654.666666666667</v>
          </cell>
          <cell r="Y97">
            <v>7643</v>
          </cell>
          <cell r="Z97">
            <v>29</v>
          </cell>
          <cell r="AA97">
            <v>21</v>
          </cell>
          <cell r="AB97">
            <v>37</v>
          </cell>
          <cell r="AC97">
            <v>44</v>
          </cell>
          <cell r="AD97">
            <v>40</v>
          </cell>
          <cell r="AE97">
            <v>70</v>
          </cell>
          <cell r="AF97">
            <v>61</v>
          </cell>
          <cell r="AG97">
            <v>29</v>
          </cell>
          <cell r="AH97">
            <v>34</v>
          </cell>
          <cell r="AI97">
            <v>40.333333333333336</v>
          </cell>
          <cell r="AJ97">
            <v>51.333333333333336</v>
          </cell>
          <cell r="AK97">
            <v>57</v>
          </cell>
          <cell r="AL97">
            <v>7</v>
          </cell>
          <cell r="AM97">
            <v>0.1</v>
          </cell>
          <cell r="AN97">
            <v>51.229715125578174</v>
          </cell>
          <cell r="AO97">
            <v>53.769514527734771</v>
          </cell>
          <cell r="AP97">
            <v>52.541372395152145</v>
          </cell>
          <cell r="AQ97">
            <v>53.758491551994425</v>
          </cell>
          <cell r="AR97">
            <v>55.239522002704</v>
          </cell>
          <cell r="AS97" t="str">
            <v/>
          </cell>
          <cell r="AV97">
            <v>55.239522002704</v>
          </cell>
        </row>
        <row r="98">
          <cell r="A98" t="str">
            <v>Pediatrics: Plastic and Reconstruction Surgery</v>
          </cell>
          <cell r="B98">
            <v>360701</v>
          </cell>
          <cell r="C98">
            <v>381207</v>
          </cell>
          <cell r="D98" t="str">
            <v>*</v>
          </cell>
          <cell r="E98" t="str">
            <v>*</v>
          </cell>
          <cell r="F98">
            <v>463465</v>
          </cell>
          <cell r="G98">
            <v>456481</v>
          </cell>
          <cell r="H98" t="str">
            <v>*</v>
          </cell>
          <cell r="I98">
            <v>370954</v>
          </cell>
          <cell r="J98">
            <v>381207</v>
          </cell>
          <cell r="K98">
            <v>463465</v>
          </cell>
          <cell r="L98">
            <v>459973</v>
          </cell>
          <cell r="M98">
            <v>459973</v>
          </cell>
          <cell r="N98">
            <v>6608</v>
          </cell>
          <cell r="O98" t="str">
            <v>*</v>
          </cell>
          <cell r="P98" t="str">
            <v>*</v>
          </cell>
          <cell r="Q98" t="str">
            <v>*</v>
          </cell>
          <cell r="R98" t="str">
            <v>*</v>
          </cell>
          <cell r="S98" t="str">
            <v>*</v>
          </cell>
          <cell r="T98" t="str">
            <v>*</v>
          </cell>
          <cell r="U98">
            <v>6608</v>
          </cell>
          <cell r="V98" t="str">
            <v>*</v>
          </cell>
          <cell r="W98" t="str">
            <v>*</v>
          </cell>
          <cell r="X98" t="str">
            <v>*</v>
          </cell>
          <cell r="Y98" t="str">
            <v>*</v>
          </cell>
          <cell r="Z98">
            <v>10</v>
          </cell>
          <cell r="AA98">
            <v>8</v>
          </cell>
          <cell r="AB98">
            <v>6</v>
          </cell>
          <cell r="AC98">
            <v>0</v>
          </cell>
          <cell r="AD98">
            <v>9</v>
          </cell>
          <cell r="AE98">
            <v>9</v>
          </cell>
          <cell r="AF98">
            <v>6</v>
          </cell>
          <cell r="AG98">
            <v>8</v>
          </cell>
          <cell r="AH98">
            <v>4.666666666666667</v>
          </cell>
          <cell r="AI98">
            <v>5</v>
          </cell>
          <cell r="AJ98">
            <v>6</v>
          </cell>
          <cell r="AK98">
            <v>8</v>
          </cell>
          <cell r="AL98">
            <v>0</v>
          </cell>
          <cell r="AM98">
            <v>0</v>
          </cell>
          <cell r="AN98">
            <v>56.137106537530265</v>
          </cell>
          <cell r="AO98" t="str">
            <v>*</v>
          </cell>
          <cell r="AP98" t="str">
            <v>*</v>
          </cell>
          <cell r="AQ98" t="str">
            <v>*</v>
          </cell>
          <cell r="AR98" t="str">
            <v>*</v>
          </cell>
          <cell r="AS98" t="str">
            <v>Low N</v>
          </cell>
          <cell r="AT98" t="str">
            <v>Surgery: Plastic and Reconstruction</v>
          </cell>
          <cell r="AU98">
            <v>51.675801387650687</v>
          </cell>
          <cell r="AV98">
            <v>51.675801387650687</v>
          </cell>
        </row>
        <row r="99">
          <cell r="A99" t="str">
            <v>Pediatrics: Pulmonology</v>
          </cell>
          <cell r="B99">
            <v>185734</v>
          </cell>
          <cell r="C99">
            <v>189586</v>
          </cell>
          <cell r="D99">
            <v>183250</v>
          </cell>
          <cell r="E99">
            <v>203847</v>
          </cell>
          <cell r="F99">
            <v>198124</v>
          </cell>
          <cell r="G99">
            <v>203582</v>
          </cell>
          <cell r="H99">
            <v>208679</v>
          </cell>
          <cell r="I99">
            <v>186190</v>
          </cell>
          <cell r="J99">
            <v>192227.66666666666</v>
          </cell>
          <cell r="K99">
            <v>195073.66666666666</v>
          </cell>
          <cell r="L99">
            <v>201851</v>
          </cell>
          <cell r="M99">
            <v>203461.66666666666</v>
          </cell>
          <cell r="N99">
            <v>4152</v>
          </cell>
          <cell r="O99">
            <v>4501</v>
          </cell>
          <cell r="P99">
            <v>4170</v>
          </cell>
          <cell r="Q99">
            <v>3633</v>
          </cell>
          <cell r="R99">
            <v>3418</v>
          </cell>
          <cell r="S99">
            <v>4104</v>
          </cell>
          <cell r="T99">
            <v>3315</v>
          </cell>
          <cell r="U99">
            <v>4274.333333333333</v>
          </cell>
          <cell r="V99">
            <v>4101.333333333333</v>
          </cell>
          <cell r="W99">
            <v>3740.3333333333335</v>
          </cell>
          <cell r="X99">
            <v>3718.3333333333335</v>
          </cell>
          <cell r="Y99">
            <v>3612.3333333333335</v>
          </cell>
          <cell r="Z99">
            <v>53</v>
          </cell>
          <cell r="AA99">
            <v>25</v>
          </cell>
          <cell r="AB99">
            <v>43</v>
          </cell>
          <cell r="AC99">
            <v>42</v>
          </cell>
          <cell r="AD99">
            <v>56</v>
          </cell>
          <cell r="AE99">
            <v>73</v>
          </cell>
          <cell r="AF99">
            <v>65</v>
          </cell>
          <cell r="AG99">
            <v>40.333333333333336</v>
          </cell>
          <cell r="AH99">
            <v>36.666666666666664</v>
          </cell>
          <cell r="AI99">
            <v>47</v>
          </cell>
          <cell r="AJ99">
            <v>57</v>
          </cell>
          <cell r="AK99">
            <v>64.666666666666671</v>
          </cell>
          <cell r="AL99">
            <v>13</v>
          </cell>
          <cell r="AM99">
            <v>0.17808219178082191</v>
          </cell>
          <cell r="AN99">
            <v>43.560009358184516</v>
          </cell>
          <cell r="AO99">
            <v>46.869554616384917</v>
          </cell>
          <cell r="AP99">
            <v>52.154086088583902</v>
          </cell>
          <cell r="AQ99">
            <v>54.285342895562529</v>
          </cell>
          <cell r="AR99">
            <v>56.324167204946015</v>
          </cell>
          <cell r="AS99" t="str">
            <v/>
          </cell>
          <cell r="AV99">
            <v>56.324167204946015</v>
          </cell>
        </row>
        <row r="100">
          <cell r="A100" t="str">
            <v>Pediatrics: Radiology</v>
          </cell>
          <cell r="B100">
            <v>381459</v>
          </cell>
          <cell r="C100">
            <v>445600</v>
          </cell>
          <cell r="D100">
            <v>425150</v>
          </cell>
          <cell r="E100">
            <v>456358</v>
          </cell>
          <cell r="F100">
            <v>404016</v>
          </cell>
          <cell r="G100">
            <v>429956</v>
          </cell>
          <cell r="H100">
            <v>452600</v>
          </cell>
          <cell r="I100">
            <v>417403</v>
          </cell>
          <cell r="J100">
            <v>442369.33333333331</v>
          </cell>
          <cell r="K100">
            <v>428508</v>
          </cell>
          <cell r="L100">
            <v>430110</v>
          </cell>
          <cell r="M100">
            <v>428857.33333333331</v>
          </cell>
          <cell r="N100">
            <v>7258</v>
          </cell>
          <cell r="O100">
            <v>4893</v>
          </cell>
          <cell r="P100">
            <v>6244</v>
          </cell>
          <cell r="Q100">
            <v>6738</v>
          </cell>
          <cell r="R100">
            <v>6682</v>
          </cell>
          <cell r="S100">
            <v>7047</v>
          </cell>
          <cell r="T100">
            <v>5401</v>
          </cell>
          <cell r="U100">
            <v>6131.666666666667</v>
          </cell>
          <cell r="V100">
            <v>5958.333333333333</v>
          </cell>
          <cell r="W100">
            <v>6554.666666666667</v>
          </cell>
          <cell r="X100">
            <v>6822.333333333333</v>
          </cell>
          <cell r="Y100">
            <v>6376.666666666667</v>
          </cell>
          <cell r="Z100">
            <v>24</v>
          </cell>
          <cell r="AA100">
            <v>23</v>
          </cell>
          <cell r="AB100">
            <v>28</v>
          </cell>
          <cell r="AC100">
            <v>44</v>
          </cell>
          <cell r="AD100">
            <v>42</v>
          </cell>
          <cell r="AE100">
            <v>37</v>
          </cell>
          <cell r="AF100">
            <v>43</v>
          </cell>
          <cell r="AG100">
            <v>25</v>
          </cell>
          <cell r="AH100">
            <v>31.666666666666668</v>
          </cell>
          <cell r="AI100">
            <v>38</v>
          </cell>
          <cell r="AJ100">
            <v>41</v>
          </cell>
          <cell r="AK100">
            <v>40.666666666666664</v>
          </cell>
          <cell r="AL100">
            <v>3</v>
          </cell>
          <cell r="AM100">
            <v>8.1081081081081086E-2</v>
          </cell>
          <cell r="AN100">
            <v>68.073335145419946</v>
          </cell>
          <cell r="AO100">
            <v>74.243804195804202</v>
          </cell>
          <cell r="AP100">
            <v>65.374491456468675</v>
          </cell>
          <cell r="AQ100">
            <v>63.04441295744369</v>
          </cell>
          <cell r="AR100">
            <v>67.254155776267638</v>
          </cell>
          <cell r="AS100" t="str">
            <v/>
          </cell>
          <cell r="AV100">
            <v>67.254155776267638</v>
          </cell>
        </row>
        <row r="101">
          <cell r="A101" t="str">
            <v>Pediatrics: Rheumatology</v>
          </cell>
          <cell r="B101">
            <v>173298</v>
          </cell>
          <cell r="C101">
            <v>165856</v>
          </cell>
          <cell r="D101">
            <v>175000</v>
          </cell>
          <cell r="E101">
            <v>187265</v>
          </cell>
          <cell r="F101">
            <v>197386</v>
          </cell>
          <cell r="G101">
            <v>184990</v>
          </cell>
          <cell r="H101">
            <v>197000</v>
          </cell>
          <cell r="I101">
            <v>171384.66666666666</v>
          </cell>
          <cell r="J101">
            <v>176040.33333333334</v>
          </cell>
          <cell r="K101">
            <v>186550.33333333334</v>
          </cell>
          <cell r="L101">
            <v>189880.33333333334</v>
          </cell>
          <cell r="M101">
            <v>193125.33333333334</v>
          </cell>
          <cell r="N101">
            <v>3228</v>
          </cell>
          <cell r="O101" t="str">
            <v>*</v>
          </cell>
          <cell r="P101">
            <v>3611</v>
          </cell>
          <cell r="Q101">
            <v>2804</v>
          </cell>
          <cell r="R101">
            <v>3083</v>
          </cell>
          <cell r="S101">
            <v>3378</v>
          </cell>
          <cell r="T101">
            <v>2836</v>
          </cell>
          <cell r="U101">
            <v>3419.5</v>
          </cell>
          <cell r="V101">
            <v>3207.5</v>
          </cell>
          <cell r="W101">
            <v>3166</v>
          </cell>
          <cell r="X101">
            <v>3088.3333333333335</v>
          </cell>
          <cell r="Y101">
            <v>3099</v>
          </cell>
          <cell r="Z101">
            <v>10</v>
          </cell>
          <cell r="AA101">
            <v>4</v>
          </cell>
          <cell r="AB101">
            <v>11</v>
          </cell>
          <cell r="AC101">
            <v>23</v>
          </cell>
          <cell r="AD101">
            <v>25</v>
          </cell>
          <cell r="AE101">
            <v>28</v>
          </cell>
          <cell r="AF101">
            <v>31</v>
          </cell>
          <cell r="AG101">
            <v>8.3333333333333339</v>
          </cell>
          <cell r="AH101">
            <v>12.666666666666666</v>
          </cell>
          <cell r="AI101">
            <v>19.666666666666668</v>
          </cell>
          <cell r="AJ101">
            <v>25.333333333333332</v>
          </cell>
          <cell r="AK101">
            <v>28</v>
          </cell>
          <cell r="AL101">
            <v>2</v>
          </cell>
          <cell r="AM101">
            <v>7.1428571428571425E-2</v>
          </cell>
          <cell r="AN101">
            <v>50.119803090120385</v>
          </cell>
          <cell r="AO101">
            <v>54.883969862301896</v>
          </cell>
          <cell r="AP101">
            <v>58.923036428721836</v>
          </cell>
          <cell r="AQ101">
            <v>61.483108472746899</v>
          </cell>
          <cell r="AR101">
            <v>62.318597397009789</v>
          </cell>
          <cell r="AS101" t="str">
            <v/>
          </cell>
          <cell r="AV101">
            <v>62.318597397009789</v>
          </cell>
        </row>
        <row r="102">
          <cell r="A102" t="str">
            <v>Pediatrics: Sports Medicine</v>
          </cell>
          <cell r="B102" t="str">
            <v>*</v>
          </cell>
          <cell r="C102" t="str">
            <v>*</v>
          </cell>
          <cell r="D102" t="str">
            <v>*</v>
          </cell>
          <cell r="E102" t="str">
            <v>*</v>
          </cell>
          <cell r="F102" t="str">
            <v>*</v>
          </cell>
          <cell r="G102" t="str">
            <v>*</v>
          </cell>
          <cell r="H102" t="str">
            <v>*</v>
          </cell>
          <cell r="I102" t="str">
            <v>*</v>
          </cell>
          <cell r="J102" t="str">
            <v>*</v>
          </cell>
          <cell r="K102" t="str">
            <v>*</v>
          </cell>
          <cell r="L102" t="str">
            <v>*</v>
          </cell>
          <cell r="M102" t="str">
            <v>*</v>
          </cell>
          <cell r="N102" t="str">
            <v>*</v>
          </cell>
          <cell r="O102" t="str">
            <v>*</v>
          </cell>
          <cell r="P102" t="str">
            <v>*</v>
          </cell>
          <cell r="Q102" t="str">
            <v>*</v>
          </cell>
          <cell r="R102" t="str">
            <v>*</v>
          </cell>
          <cell r="S102" t="str">
            <v>*</v>
          </cell>
          <cell r="T102" t="str">
            <v>*</v>
          </cell>
          <cell r="U102" t="str">
            <v>*</v>
          </cell>
          <cell r="V102" t="str">
            <v>*</v>
          </cell>
          <cell r="W102" t="str">
            <v>*</v>
          </cell>
          <cell r="X102" t="str">
            <v>*</v>
          </cell>
          <cell r="Y102" t="str">
            <v>*</v>
          </cell>
          <cell r="Z102" t="str">
            <v>*</v>
          </cell>
          <cell r="AA102" t="str">
            <v>*</v>
          </cell>
          <cell r="AB102" t="str">
            <v>*</v>
          </cell>
          <cell r="AC102" t="str">
            <v>*</v>
          </cell>
          <cell r="AD102" t="str">
            <v>*</v>
          </cell>
          <cell r="AE102">
            <v>4</v>
          </cell>
          <cell r="AF102">
            <v>4</v>
          </cell>
          <cell r="AG102" t="str">
            <v>*</v>
          </cell>
          <cell r="AH102" t="str">
            <v>*</v>
          </cell>
          <cell r="AI102" t="str">
            <v>*</v>
          </cell>
          <cell r="AJ102">
            <v>4</v>
          </cell>
          <cell r="AK102">
            <v>4</v>
          </cell>
          <cell r="AL102">
            <v>0</v>
          </cell>
          <cell r="AM102">
            <v>0</v>
          </cell>
          <cell r="AN102" t="str">
            <v>*</v>
          </cell>
          <cell r="AO102" t="str">
            <v>*</v>
          </cell>
          <cell r="AP102" t="str">
            <v>*</v>
          </cell>
          <cell r="AQ102" t="str">
            <v>*</v>
          </cell>
          <cell r="AR102" t="str">
            <v>*</v>
          </cell>
          <cell r="AS102" t="str">
            <v>Low N</v>
          </cell>
          <cell r="AT102" t="str">
            <v>Pediatrics: General</v>
          </cell>
          <cell r="AU102">
            <v>44.316522614752031</v>
          </cell>
          <cell r="AV102">
            <v>44.316522614752031</v>
          </cell>
        </row>
        <row r="103">
          <cell r="A103" t="str">
            <v>Pediatrics: Surgery</v>
          </cell>
          <cell r="B103">
            <v>497500</v>
          </cell>
          <cell r="C103">
            <v>500362</v>
          </cell>
          <cell r="D103">
            <v>539754</v>
          </cell>
          <cell r="E103">
            <v>576984</v>
          </cell>
          <cell r="F103">
            <v>510739</v>
          </cell>
          <cell r="G103">
            <v>563208</v>
          </cell>
          <cell r="H103">
            <v>577283</v>
          </cell>
          <cell r="I103">
            <v>512538.66666666669</v>
          </cell>
          <cell r="J103">
            <v>539033.33333333337</v>
          </cell>
          <cell r="K103">
            <v>542492.33333333337</v>
          </cell>
          <cell r="L103">
            <v>550310.33333333337</v>
          </cell>
          <cell r="M103">
            <v>550410</v>
          </cell>
          <cell r="N103">
            <v>7821</v>
          </cell>
          <cell r="O103">
            <v>8293</v>
          </cell>
          <cell r="P103">
            <v>7616</v>
          </cell>
          <cell r="Q103">
            <v>7319</v>
          </cell>
          <cell r="R103">
            <v>6986</v>
          </cell>
          <cell r="S103">
            <v>6349</v>
          </cell>
          <cell r="T103">
            <v>6028</v>
          </cell>
          <cell r="U103">
            <v>7910</v>
          </cell>
          <cell r="V103">
            <v>7742.666666666667</v>
          </cell>
          <cell r="W103">
            <v>7307</v>
          </cell>
          <cell r="X103">
            <v>6884.666666666667</v>
          </cell>
          <cell r="Y103">
            <v>6454.333333333333</v>
          </cell>
          <cell r="Z103">
            <v>48</v>
          </cell>
          <cell r="AA103">
            <v>43</v>
          </cell>
          <cell r="AB103">
            <v>45</v>
          </cell>
          <cell r="AC103">
            <v>68</v>
          </cell>
          <cell r="AD103">
            <v>84</v>
          </cell>
          <cell r="AE103">
            <v>92</v>
          </cell>
          <cell r="AF103">
            <v>91</v>
          </cell>
          <cell r="AG103">
            <v>45.333333333333336</v>
          </cell>
          <cell r="AH103">
            <v>52</v>
          </cell>
          <cell r="AI103">
            <v>65.666666666666671</v>
          </cell>
          <cell r="AJ103">
            <v>81.333333333333329</v>
          </cell>
          <cell r="AK103">
            <v>89</v>
          </cell>
          <cell r="AL103">
            <v>5</v>
          </cell>
          <cell r="AM103">
            <v>5.434782608695652E-2</v>
          </cell>
          <cell r="AN103">
            <v>64.796291613990732</v>
          </cell>
          <cell r="AO103">
            <v>69.618563802307563</v>
          </cell>
          <cell r="AP103">
            <v>74.242826513388991</v>
          </cell>
          <cell r="AQ103">
            <v>79.932749104289726</v>
          </cell>
          <cell r="AR103">
            <v>85.277591282342613</v>
          </cell>
          <cell r="AS103" t="str">
            <v/>
          </cell>
          <cell r="AV103">
            <v>85.277591282342613</v>
          </cell>
        </row>
        <row r="104">
          <cell r="A104" t="str">
            <v>Pediatrics: Urgent Care</v>
          </cell>
          <cell r="B104">
            <v>166244</v>
          </cell>
          <cell r="C104">
            <v>171942</v>
          </cell>
          <cell r="D104" t="str">
            <v>*</v>
          </cell>
          <cell r="E104">
            <v>182520</v>
          </cell>
          <cell r="F104" t="str">
            <v>*</v>
          </cell>
          <cell r="G104" t="str">
            <v>*</v>
          </cell>
          <cell r="H104" t="str">
            <v>*</v>
          </cell>
          <cell r="I104">
            <v>169093</v>
          </cell>
          <cell r="J104">
            <v>177231</v>
          </cell>
          <cell r="K104">
            <v>182520</v>
          </cell>
          <cell r="L104">
            <v>182520</v>
          </cell>
          <cell r="M104" t="str">
            <v>*</v>
          </cell>
          <cell r="N104" t="str">
            <v>*</v>
          </cell>
          <cell r="O104" t="str">
            <v>*</v>
          </cell>
          <cell r="P104" t="str">
            <v>*</v>
          </cell>
          <cell r="Q104">
            <v>3746</v>
          </cell>
          <cell r="R104" t="str">
            <v>*</v>
          </cell>
          <cell r="S104" t="str">
            <v>*</v>
          </cell>
          <cell r="T104" t="str">
            <v>*</v>
          </cell>
          <cell r="U104" t="str">
            <v>*</v>
          </cell>
          <cell r="V104">
            <v>3746</v>
          </cell>
          <cell r="W104">
            <v>3746</v>
          </cell>
          <cell r="X104">
            <v>3746</v>
          </cell>
          <cell r="Y104" t="str">
            <v>*</v>
          </cell>
          <cell r="Z104">
            <v>2</v>
          </cell>
          <cell r="AA104">
            <v>21</v>
          </cell>
          <cell r="AB104">
            <v>7</v>
          </cell>
          <cell r="AC104">
            <v>29</v>
          </cell>
          <cell r="AD104">
            <v>12</v>
          </cell>
          <cell r="AE104">
            <v>15</v>
          </cell>
          <cell r="AF104">
            <v>5</v>
          </cell>
          <cell r="AG104">
            <v>10</v>
          </cell>
          <cell r="AH104">
            <v>19</v>
          </cell>
          <cell r="AI104">
            <v>16</v>
          </cell>
          <cell r="AJ104">
            <v>18.666666666666668</v>
          </cell>
          <cell r="AK104">
            <v>10.666666666666666</v>
          </cell>
          <cell r="AL104">
            <v>0</v>
          </cell>
          <cell r="AM104">
            <v>0</v>
          </cell>
          <cell r="AN104" t="str">
            <v>*</v>
          </cell>
          <cell r="AO104">
            <v>47.312066203950884</v>
          </cell>
          <cell r="AP104">
            <v>48.723972237052855</v>
          </cell>
          <cell r="AQ104">
            <v>48.723972237052855</v>
          </cell>
          <cell r="AR104" t="str">
            <v>*</v>
          </cell>
          <cell r="AS104" t="str">
            <v>Low N</v>
          </cell>
          <cell r="AT104" t="str">
            <v>Pediatrics: General</v>
          </cell>
          <cell r="AU104">
            <v>44.316522614752031</v>
          </cell>
          <cell r="AV104">
            <v>44.316522614752031</v>
          </cell>
        </row>
        <row r="105">
          <cell r="A105" t="str">
            <v>Pediatrics: Urology</v>
          </cell>
          <cell r="B105">
            <v>507000</v>
          </cell>
          <cell r="C105">
            <v>389332</v>
          </cell>
          <cell r="D105">
            <v>442987</v>
          </cell>
          <cell r="E105">
            <v>433311</v>
          </cell>
          <cell r="F105">
            <v>453791</v>
          </cell>
          <cell r="G105">
            <v>500006</v>
          </cell>
          <cell r="H105">
            <v>472530</v>
          </cell>
          <cell r="I105">
            <v>446439.66666666669</v>
          </cell>
          <cell r="J105">
            <v>421876.66666666669</v>
          </cell>
          <cell r="K105">
            <v>443363</v>
          </cell>
          <cell r="L105">
            <v>462369.33333333331</v>
          </cell>
          <cell r="M105">
            <v>475442.33333333331</v>
          </cell>
          <cell r="N105">
            <v>8385</v>
          </cell>
          <cell r="O105">
            <v>9117</v>
          </cell>
          <cell r="P105">
            <v>6965</v>
          </cell>
          <cell r="Q105">
            <v>7986</v>
          </cell>
          <cell r="R105">
            <v>9075</v>
          </cell>
          <cell r="S105">
            <v>9454</v>
          </cell>
          <cell r="T105">
            <v>7710</v>
          </cell>
          <cell r="U105">
            <v>8155.666666666667</v>
          </cell>
          <cell r="V105">
            <v>8022.666666666667</v>
          </cell>
          <cell r="W105">
            <v>8008.666666666667</v>
          </cell>
          <cell r="X105">
            <v>8838.3333333333339</v>
          </cell>
          <cell r="Y105">
            <v>8746.3333333333339</v>
          </cell>
          <cell r="Z105">
            <v>13</v>
          </cell>
          <cell r="AA105">
            <v>10</v>
          </cell>
          <cell r="AB105">
            <v>11</v>
          </cell>
          <cell r="AC105">
            <v>22</v>
          </cell>
          <cell r="AD105">
            <v>29</v>
          </cell>
          <cell r="AE105">
            <v>24</v>
          </cell>
          <cell r="AF105">
            <v>31</v>
          </cell>
          <cell r="AG105">
            <v>11.333333333333334</v>
          </cell>
          <cell r="AH105">
            <v>14.333333333333334</v>
          </cell>
          <cell r="AI105">
            <v>20.666666666666668</v>
          </cell>
          <cell r="AJ105">
            <v>25</v>
          </cell>
          <cell r="AK105">
            <v>28</v>
          </cell>
          <cell r="AL105">
            <v>3</v>
          </cell>
          <cell r="AM105">
            <v>0.125</v>
          </cell>
          <cell r="AN105">
            <v>54.739812809089791</v>
          </cell>
          <cell r="AO105">
            <v>52.585590825993023</v>
          </cell>
          <cell r="AP105">
            <v>55.360401231998665</v>
          </cell>
          <cell r="AQ105">
            <v>52.314086366207803</v>
          </cell>
          <cell r="AR105">
            <v>54.359045695338992</v>
          </cell>
          <cell r="AS105" t="str">
            <v/>
          </cell>
          <cell r="AV105">
            <v>54.359045695338992</v>
          </cell>
        </row>
        <row r="106">
          <cell r="A106" t="str">
            <v>Physiatry (Physical Medicine and Rehabilitation)</v>
          </cell>
          <cell r="B106">
            <v>208287</v>
          </cell>
          <cell r="C106">
            <v>197791</v>
          </cell>
          <cell r="D106">
            <v>212387</v>
          </cell>
          <cell r="E106">
            <v>256225</v>
          </cell>
          <cell r="F106">
            <v>232858</v>
          </cell>
          <cell r="G106">
            <v>234884</v>
          </cell>
          <cell r="H106">
            <v>235564</v>
          </cell>
          <cell r="I106">
            <v>206155</v>
          </cell>
          <cell r="J106">
            <v>222134.33333333334</v>
          </cell>
          <cell r="K106">
            <v>233823.33333333334</v>
          </cell>
          <cell r="L106">
            <v>241322.33333333334</v>
          </cell>
          <cell r="M106">
            <v>234435.33333333334</v>
          </cell>
          <cell r="N106">
            <v>5487</v>
          </cell>
          <cell r="O106">
            <v>5268</v>
          </cell>
          <cell r="P106">
            <v>5547</v>
          </cell>
          <cell r="Q106">
            <v>5265</v>
          </cell>
          <cell r="R106">
            <v>4545</v>
          </cell>
          <cell r="S106">
            <v>5059</v>
          </cell>
          <cell r="T106">
            <v>4416</v>
          </cell>
          <cell r="U106">
            <v>5434</v>
          </cell>
          <cell r="V106">
            <v>5360</v>
          </cell>
          <cell r="W106">
            <v>5119</v>
          </cell>
          <cell r="X106">
            <v>4956.333333333333</v>
          </cell>
          <cell r="Y106">
            <v>4673.333333333333</v>
          </cell>
          <cell r="Z106">
            <v>86</v>
          </cell>
          <cell r="AA106">
            <v>96</v>
          </cell>
          <cell r="AB106">
            <v>73</v>
          </cell>
          <cell r="AC106">
            <v>90</v>
          </cell>
          <cell r="AD106">
            <v>156</v>
          </cell>
          <cell r="AE106">
            <v>225</v>
          </cell>
          <cell r="AF106">
            <v>225</v>
          </cell>
          <cell r="AG106">
            <v>85</v>
          </cell>
          <cell r="AH106">
            <v>86.333333333333329</v>
          </cell>
          <cell r="AI106">
            <v>106.33333333333333</v>
          </cell>
          <cell r="AJ106">
            <v>157</v>
          </cell>
          <cell r="AK106">
            <v>202</v>
          </cell>
          <cell r="AL106">
            <v>14</v>
          </cell>
          <cell r="AM106">
            <v>6.222222222222222E-2</v>
          </cell>
          <cell r="AN106">
            <v>37.937983069562016</v>
          </cell>
          <cell r="AO106">
            <v>41.442972636815924</v>
          </cell>
          <cell r="AP106">
            <v>45.677541186429643</v>
          </cell>
          <cell r="AQ106">
            <v>48.689689958975052</v>
          </cell>
          <cell r="AR106">
            <v>50.164479315263911</v>
          </cell>
          <cell r="AS106" t="str">
            <v/>
          </cell>
          <cell r="AV106">
            <v>50.164479315263911</v>
          </cell>
        </row>
        <row r="107">
          <cell r="A107" t="str">
            <v>Psychiatry: Addiction Medicine</v>
          </cell>
          <cell r="B107" t="str">
            <v>*</v>
          </cell>
          <cell r="C107" t="str">
            <v>*</v>
          </cell>
          <cell r="D107" t="str">
            <v>*</v>
          </cell>
          <cell r="E107" t="str">
            <v>*</v>
          </cell>
          <cell r="F107">
            <v>193688</v>
          </cell>
          <cell r="G107" t="str">
            <v>*</v>
          </cell>
          <cell r="H107" t="str">
            <v>*</v>
          </cell>
          <cell r="I107" t="str">
            <v>*</v>
          </cell>
          <cell r="J107" t="str">
            <v>*</v>
          </cell>
          <cell r="K107">
            <v>193688</v>
          </cell>
          <cell r="L107">
            <v>193688</v>
          </cell>
          <cell r="M107">
            <v>193688</v>
          </cell>
          <cell r="N107" t="str">
            <v>*</v>
          </cell>
          <cell r="O107" t="str">
            <v>*</v>
          </cell>
          <cell r="P107" t="str">
            <v>*</v>
          </cell>
          <cell r="Q107" t="str">
            <v>*</v>
          </cell>
          <cell r="R107">
            <v>2539</v>
          </cell>
          <cell r="S107" t="str">
            <v>*</v>
          </cell>
          <cell r="T107" t="str">
            <v>*</v>
          </cell>
          <cell r="U107" t="str">
            <v>*</v>
          </cell>
          <cell r="V107" t="str">
            <v>*</v>
          </cell>
          <cell r="W107">
            <v>2539</v>
          </cell>
          <cell r="X107">
            <v>2539</v>
          </cell>
          <cell r="Y107">
            <v>2539</v>
          </cell>
          <cell r="Z107" t="str">
            <v>*</v>
          </cell>
          <cell r="AA107" t="str">
            <v>*</v>
          </cell>
          <cell r="AB107" t="str">
            <v>*</v>
          </cell>
          <cell r="AC107" t="str">
            <v>*</v>
          </cell>
          <cell r="AD107">
            <v>13</v>
          </cell>
          <cell r="AE107">
            <v>9</v>
          </cell>
          <cell r="AF107">
            <v>9</v>
          </cell>
          <cell r="AG107" t="str">
            <v>*</v>
          </cell>
          <cell r="AH107" t="str">
            <v>*</v>
          </cell>
          <cell r="AI107">
            <v>13</v>
          </cell>
          <cell r="AJ107">
            <v>11</v>
          </cell>
          <cell r="AK107">
            <v>10.333333333333334</v>
          </cell>
          <cell r="AL107">
            <v>0</v>
          </cell>
          <cell r="AM107">
            <v>0</v>
          </cell>
          <cell r="AN107" t="str">
            <v>*</v>
          </cell>
          <cell r="AO107" t="str">
            <v>*</v>
          </cell>
          <cell r="AP107">
            <v>76.285151634501773</v>
          </cell>
          <cell r="AQ107">
            <v>76.285151634501773</v>
          </cell>
          <cell r="AR107">
            <v>76.285151634501773</v>
          </cell>
          <cell r="AS107" t="str">
            <v>Low N</v>
          </cell>
          <cell r="AT107" t="str">
            <v>Psychiatry: General</v>
          </cell>
          <cell r="AU107">
            <v>68.476470588235301</v>
          </cell>
          <cell r="AV107">
            <v>68.476470588235301</v>
          </cell>
        </row>
        <row r="108">
          <cell r="A108" t="str">
            <v>Psychiatry: Chemical Dependency</v>
          </cell>
          <cell r="B108" t="str">
            <v>*</v>
          </cell>
          <cell r="C108" t="str">
            <v>*</v>
          </cell>
          <cell r="D108" t="str">
            <v>*</v>
          </cell>
          <cell r="E108" t="str">
            <v>*</v>
          </cell>
          <cell r="F108" t="str">
            <v>*</v>
          </cell>
          <cell r="G108" t="str">
            <v>*</v>
          </cell>
          <cell r="H108" t="str">
            <v>*</v>
          </cell>
          <cell r="I108" t="str">
            <v>*</v>
          </cell>
          <cell r="J108" t="str">
            <v>*</v>
          </cell>
          <cell r="K108" t="str">
            <v>*</v>
          </cell>
          <cell r="L108" t="str">
            <v>*</v>
          </cell>
          <cell r="M108" t="str">
            <v>*</v>
          </cell>
          <cell r="N108" t="str">
            <v>*</v>
          </cell>
          <cell r="O108" t="str">
            <v>*</v>
          </cell>
          <cell r="P108" t="str">
            <v>*</v>
          </cell>
          <cell r="Q108" t="str">
            <v>*</v>
          </cell>
          <cell r="R108" t="str">
            <v>*</v>
          </cell>
          <cell r="S108" t="str">
            <v>*</v>
          </cell>
          <cell r="T108" t="str">
            <v>*</v>
          </cell>
          <cell r="U108" t="str">
            <v>*</v>
          </cell>
          <cell r="V108" t="str">
            <v>*</v>
          </cell>
          <cell r="W108" t="str">
            <v>*</v>
          </cell>
          <cell r="X108" t="str">
            <v>*</v>
          </cell>
          <cell r="Y108" t="str">
            <v>*</v>
          </cell>
          <cell r="Z108" t="str">
            <v>*</v>
          </cell>
          <cell r="AA108" t="str">
            <v>*</v>
          </cell>
          <cell r="AB108" t="str">
            <v>*</v>
          </cell>
          <cell r="AC108" t="str">
            <v>*</v>
          </cell>
          <cell r="AD108" t="str">
            <v>*</v>
          </cell>
          <cell r="AE108">
            <v>1</v>
          </cell>
          <cell r="AF108">
            <v>1</v>
          </cell>
          <cell r="AG108" t="str">
            <v>*</v>
          </cell>
          <cell r="AH108" t="str">
            <v>*</v>
          </cell>
          <cell r="AI108" t="str">
            <v>*</v>
          </cell>
          <cell r="AJ108">
            <v>1</v>
          </cell>
          <cell r="AK108">
            <v>1</v>
          </cell>
          <cell r="AL108">
            <v>0</v>
          </cell>
          <cell r="AM108">
            <v>0</v>
          </cell>
          <cell r="AN108" t="str">
            <v>*</v>
          </cell>
          <cell r="AO108" t="str">
            <v>*</v>
          </cell>
          <cell r="AP108" t="str">
            <v>*</v>
          </cell>
          <cell r="AQ108" t="str">
            <v>*</v>
          </cell>
          <cell r="AR108" t="str">
            <v>*</v>
          </cell>
          <cell r="AS108" t="str">
            <v>Low N</v>
          </cell>
          <cell r="AT108" t="str">
            <v>Psychiatry: General</v>
          </cell>
          <cell r="AU108">
            <v>68.476470588235301</v>
          </cell>
          <cell r="AV108">
            <v>68.476470588235301</v>
          </cell>
        </row>
        <row r="109">
          <cell r="A109" t="str">
            <v>Psychiatry: Child and Adolescent</v>
          </cell>
          <cell r="B109">
            <v>201070</v>
          </cell>
          <cell r="C109">
            <v>201150</v>
          </cell>
          <cell r="D109">
            <v>205296</v>
          </cell>
          <cell r="E109">
            <v>202108</v>
          </cell>
          <cell r="F109">
            <v>201130</v>
          </cell>
          <cell r="G109">
            <v>227803</v>
          </cell>
          <cell r="H109">
            <v>230767</v>
          </cell>
          <cell r="I109">
            <v>202505.33333333334</v>
          </cell>
          <cell r="J109">
            <v>202851.33333333334</v>
          </cell>
          <cell r="K109">
            <v>202844.66666666666</v>
          </cell>
          <cell r="L109">
            <v>210347</v>
          </cell>
          <cell r="M109">
            <v>219900</v>
          </cell>
          <cell r="N109">
            <v>2421</v>
          </cell>
          <cell r="O109">
            <v>3182</v>
          </cell>
          <cell r="P109">
            <v>2840</v>
          </cell>
          <cell r="Q109">
            <v>2849</v>
          </cell>
          <cell r="R109">
            <v>2653</v>
          </cell>
          <cell r="S109">
            <v>3055</v>
          </cell>
          <cell r="T109">
            <v>2526</v>
          </cell>
          <cell r="U109">
            <v>2814.3333333333335</v>
          </cell>
          <cell r="V109">
            <v>2957</v>
          </cell>
          <cell r="W109">
            <v>2780.6666666666665</v>
          </cell>
          <cell r="X109">
            <v>2852.3333333333335</v>
          </cell>
          <cell r="Y109">
            <v>2744.6666666666665</v>
          </cell>
          <cell r="Z109">
            <v>36</v>
          </cell>
          <cell r="AA109">
            <v>26</v>
          </cell>
          <cell r="AB109">
            <v>33</v>
          </cell>
          <cell r="AC109">
            <v>71</v>
          </cell>
          <cell r="AD109">
            <v>120</v>
          </cell>
          <cell r="AE109">
            <v>112</v>
          </cell>
          <cell r="AF109">
            <v>115</v>
          </cell>
          <cell r="AG109">
            <v>31.666666666666668</v>
          </cell>
          <cell r="AH109">
            <v>43.333333333333336</v>
          </cell>
          <cell r="AI109">
            <v>74.666666666666671</v>
          </cell>
          <cell r="AJ109">
            <v>101</v>
          </cell>
          <cell r="AK109">
            <v>115.66666666666667</v>
          </cell>
          <cell r="AL109">
            <v>19</v>
          </cell>
          <cell r="AM109">
            <v>0.16964285714285715</v>
          </cell>
          <cell r="AN109">
            <v>71.954992301314704</v>
          </cell>
          <cell r="AO109">
            <v>68.600383271333556</v>
          </cell>
          <cell r="AP109">
            <v>72.948213857588115</v>
          </cell>
          <cell r="AQ109">
            <v>73.745588407152042</v>
          </cell>
          <cell r="AR109">
            <v>80.119018702939044</v>
          </cell>
          <cell r="AS109" t="str">
            <v/>
          </cell>
          <cell r="AV109">
            <v>80.119018702939044</v>
          </cell>
        </row>
        <row r="110">
          <cell r="A110" t="str">
            <v>Psychiatry: Forensic</v>
          </cell>
          <cell r="B110" t="str">
            <v>*</v>
          </cell>
          <cell r="C110" t="str">
            <v>*</v>
          </cell>
          <cell r="D110" t="str">
            <v>*</v>
          </cell>
          <cell r="E110" t="str">
            <v>*</v>
          </cell>
          <cell r="F110" t="str">
            <v>*</v>
          </cell>
          <cell r="G110" t="str">
            <v>*</v>
          </cell>
          <cell r="H110" t="str">
            <v>*</v>
          </cell>
          <cell r="I110" t="str">
            <v>*</v>
          </cell>
          <cell r="J110" t="str">
            <v>*</v>
          </cell>
          <cell r="K110" t="str">
            <v>*</v>
          </cell>
          <cell r="L110" t="str">
            <v>*</v>
          </cell>
          <cell r="M110" t="str">
            <v>*</v>
          </cell>
          <cell r="N110" t="str">
            <v>*</v>
          </cell>
          <cell r="O110" t="str">
            <v>*</v>
          </cell>
          <cell r="P110" t="str">
            <v>*</v>
          </cell>
          <cell r="Q110" t="str">
            <v>*</v>
          </cell>
          <cell r="R110" t="str">
            <v>*</v>
          </cell>
          <cell r="S110" t="str">
            <v>*</v>
          </cell>
          <cell r="T110" t="str">
            <v>*</v>
          </cell>
          <cell r="U110" t="str">
            <v>*</v>
          </cell>
          <cell r="V110" t="str">
            <v>*</v>
          </cell>
          <cell r="W110" t="str">
            <v>*</v>
          </cell>
          <cell r="X110" t="str">
            <v>*</v>
          </cell>
          <cell r="Y110" t="str">
            <v>*</v>
          </cell>
          <cell r="Z110" t="str">
            <v>*</v>
          </cell>
          <cell r="AA110" t="str">
            <v>*</v>
          </cell>
          <cell r="AB110" t="str">
            <v>*</v>
          </cell>
          <cell r="AC110" t="str">
            <v>*</v>
          </cell>
          <cell r="AD110" t="str">
            <v>*</v>
          </cell>
          <cell r="AE110">
            <v>1</v>
          </cell>
          <cell r="AF110">
            <v>2</v>
          </cell>
          <cell r="AG110" t="str">
            <v>*</v>
          </cell>
          <cell r="AH110" t="str">
            <v>*</v>
          </cell>
          <cell r="AI110" t="str">
            <v>*</v>
          </cell>
          <cell r="AJ110">
            <v>1</v>
          </cell>
          <cell r="AK110">
            <v>1.5</v>
          </cell>
          <cell r="AL110">
            <v>0</v>
          </cell>
          <cell r="AM110">
            <v>0</v>
          </cell>
          <cell r="AN110" t="str">
            <v>*</v>
          </cell>
          <cell r="AO110" t="str">
            <v>*</v>
          </cell>
          <cell r="AP110" t="str">
            <v>*</v>
          </cell>
          <cell r="AQ110" t="str">
            <v>*</v>
          </cell>
          <cell r="AR110" t="str">
            <v>*</v>
          </cell>
          <cell r="AS110" t="str">
            <v>Low N</v>
          </cell>
          <cell r="AT110" t="str">
            <v>Psychiatry: General</v>
          </cell>
          <cell r="AU110">
            <v>68.476470588235301</v>
          </cell>
          <cell r="AV110">
            <v>68.476470588235301</v>
          </cell>
        </row>
        <row r="111">
          <cell r="A111" t="str">
            <v>Psychiatry: General</v>
          </cell>
          <cell r="B111">
            <v>184900</v>
          </cell>
          <cell r="C111">
            <v>202229</v>
          </cell>
          <cell r="D111">
            <v>209375</v>
          </cell>
          <cell r="E111">
            <v>225477</v>
          </cell>
          <cell r="F111">
            <v>213740</v>
          </cell>
          <cell r="G111">
            <v>228500</v>
          </cell>
          <cell r="H111">
            <v>232938</v>
          </cell>
          <cell r="I111">
            <v>198834.66666666666</v>
          </cell>
          <cell r="J111">
            <v>212360.33333333334</v>
          </cell>
          <cell r="K111">
            <v>216197.33333333334</v>
          </cell>
          <cell r="L111">
            <v>222572.33333333334</v>
          </cell>
          <cell r="M111">
            <v>225059.33333333334</v>
          </cell>
          <cell r="N111">
            <v>2735</v>
          </cell>
          <cell r="O111">
            <v>3163</v>
          </cell>
          <cell r="P111">
            <v>3598</v>
          </cell>
          <cell r="Q111">
            <v>3454</v>
          </cell>
          <cell r="R111">
            <v>3168</v>
          </cell>
          <cell r="S111">
            <v>3507</v>
          </cell>
          <cell r="T111">
            <v>3185</v>
          </cell>
          <cell r="U111">
            <v>3165.3333333333335</v>
          </cell>
          <cell r="V111">
            <v>3405</v>
          </cell>
          <cell r="W111">
            <v>3406.6666666666665</v>
          </cell>
          <cell r="X111">
            <v>3376.3333333333335</v>
          </cell>
          <cell r="Y111">
            <v>3286.6666666666665</v>
          </cell>
          <cell r="Z111">
            <v>133</v>
          </cell>
          <cell r="AA111">
            <v>112</v>
          </cell>
          <cell r="AB111">
            <v>141</v>
          </cell>
          <cell r="AC111">
            <v>176</v>
          </cell>
          <cell r="AD111">
            <v>278</v>
          </cell>
          <cell r="AE111">
            <v>342</v>
          </cell>
          <cell r="AF111">
            <v>366</v>
          </cell>
          <cell r="AG111">
            <v>128.66666666666666</v>
          </cell>
          <cell r="AH111">
            <v>143</v>
          </cell>
          <cell r="AI111">
            <v>198.33333333333334</v>
          </cell>
          <cell r="AJ111">
            <v>265.33333333333331</v>
          </cell>
          <cell r="AK111">
            <v>328.66666666666669</v>
          </cell>
          <cell r="AL111">
            <v>48</v>
          </cell>
          <cell r="AM111">
            <v>0.14035087719298245</v>
          </cell>
          <cell r="AN111">
            <v>62.816343723673121</v>
          </cell>
          <cell r="AO111">
            <v>62.367205090553114</v>
          </cell>
          <cell r="AP111">
            <v>63.463013698630142</v>
          </cell>
          <cell r="AQ111">
            <v>65.921315036035153</v>
          </cell>
          <cell r="AR111">
            <v>68.476470588235301</v>
          </cell>
          <cell r="AS111" t="str">
            <v/>
          </cell>
          <cell r="AV111">
            <v>68.476470588235301</v>
          </cell>
        </row>
        <row r="112">
          <cell r="A112" t="str">
            <v>Psychiatry: Geriatric</v>
          </cell>
          <cell r="B112" t="str">
            <v>*</v>
          </cell>
          <cell r="C112" t="str">
            <v>*</v>
          </cell>
          <cell r="D112" t="str">
            <v>*</v>
          </cell>
          <cell r="E112" t="str">
            <v>*</v>
          </cell>
          <cell r="F112">
            <v>222150</v>
          </cell>
          <cell r="G112">
            <v>236889</v>
          </cell>
          <cell r="H112">
            <v>198930</v>
          </cell>
          <cell r="I112" t="str">
            <v>*</v>
          </cell>
          <cell r="J112" t="str">
            <v>*</v>
          </cell>
          <cell r="K112">
            <v>222150</v>
          </cell>
          <cell r="L112">
            <v>229519.5</v>
          </cell>
          <cell r="M112">
            <v>219323</v>
          </cell>
          <cell r="N112" t="str">
            <v>*</v>
          </cell>
          <cell r="O112" t="str">
            <v>*</v>
          </cell>
          <cell r="P112" t="str">
            <v>*</v>
          </cell>
          <cell r="Q112" t="str">
            <v>*</v>
          </cell>
          <cell r="R112" t="str">
            <v>*</v>
          </cell>
          <cell r="S112">
            <v>3803</v>
          </cell>
          <cell r="T112">
            <v>2704</v>
          </cell>
          <cell r="U112" t="str">
            <v>*</v>
          </cell>
          <cell r="V112" t="str">
            <v>*</v>
          </cell>
          <cell r="W112" t="str">
            <v>*</v>
          </cell>
          <cell r="X112">
            <v>3803</v>
          </cell>
          <cell r="Y112">
            <v>3253.5</v>
          </cell>
          <cell r="Z112" t="str">
            <v>*</v>
          </cell>
          <cell r="AA112" t="str">
            <v>*</v>
          </cell>
          <cell r="AB112" t="str">
            <v>*</v>
          </cell>
          <cell r="AC112" t="str">
            <v>*</v>
          </cell>
          <cell r="AD112">
            <v>8</v>
          </cell>
          <cell r="AE112">
            <v>10</v>
          </cell>
          <cell r="AF112">
            <v>13</v>
          </cell>
          <cell r="AG112" t="str">
            <v>*</v>
          </cell>
          <cell r="AH112" t="str">
            <v>*</v>
          </cell>
          <cell r="AI112">
            <v>8</v>
          </cell>
          <cell r="AJ112">
            <v>9</v>
          </cell>
          <cell r="AK112">
            <v>10.333333333333334</v>
          </cell>
          <cell r="AL112">
            <v>0</v>
          </cell>
          <cell r="AM112">
            <v>0</v>
          </cell>
          <cell r="AN112" t="str">
            <v>*</v>
          </cell>
          <cell r="AO112" t="str">
            <v>*</v>
          </cell>
          <cell r="AP112" t="str">
            <v>*</v>
          </cell>
          <cell r="AQ112">
            <v>60.352221930055222</v>
          </cell>
          <cell r="AR112">
            <v>67.411403104349162</v>
          </cell>
          <cell r="AS112" t="str">
            <v>Low N</v>
          </cell>
          <cell r="AT112" t="str">
            <v>Psychiatry: General</v>
          </cell>
          <cell r="AU112">
            <v>68.476470588235301</v>
          </cell>
          <cell r="AV112">
            <v>68.476470588235301</v>
          </cell>
        </row>
        <row r="113">
          <cell r="A113" t="str">
            <v>Pulmonary Medicine: Critical Care</v>
          </cell>
          <cell r="B113">
            <v>221997</v>
          </cell>
          <cell r="C113">
            <v>239542</v>
          </cell>
          <cell r="D113">
            <v>254634</v>
          </cell>
          <cell r="E113">
            <v>284471</v>
          </cell>
          <cell r="F113">
            <v>303919</v>
          </cell>
          <cell r="G113">
            <v>281083</v>
          </cell>
          <cell r="H113">
            <v>284513</v>
          </cell>
          <cell r="I113">
            <v>238724.33333333334</v>
          </cell>
          <cell r="J113">
            <v>259549</v>
          </cell>
          <cell r="K113">
            <v>281008</v>
          </cell>
          <cell r="L113">
            <v>289824.33333333331</v>
          </cell>
          <cell r="M113">
            <v>289838.33333333331</v>
          </cell>
          <cell r="N113">
            <v>5429</v>
          </cell>
          <cell r="O113">
            <v>4527</v>
          </cell>
          <cell r="P113">
            <v>7745</v>
          </cell>
          <cell r="Q113">
            <v>6820</v>
          </cell>
          <cell r="R113">
            <v>6492</v>
          </cell>
          <cell r="S113">
            <v>6379</v>
          </cell>
          <cell r="T113">
            <v>6000</v>
          </cell>
          <cell r="U113">
            <v>5900.333333333333</v>
          </cell>
          <cell r="V113">
            <v>6364</v>
          </cell>
          <cell r="W113">
            <v>7019</v>
          </cell>
          <cell r="X113">
            <v>6563.666666666667</v>
          </cell>
          <cell r="Y113">
            <v>6290.333333333333</v>
          </cell>
          <cell r="Z113">
            <v>37</v>
          </cell>
          <cell r="AA113">
            <v>14</v>
          </cell>
          <cell r="AB113">
            <v>19</v>
          </cell>
          <cell r="AC113">
            <v>41</v>
          </cell>
          <cell r="AD113">
            <v>53</v>
          </cell>
          <cell r="AE113">
            <v>117</v>
          </cell>
          <cell r="AF113">
            <v>106</v>
          </cell>
          <cell r="AG113">
            <v>23.333333333333332</v>
          </cell>
          <cell r="AH113">
            <v>24.666666666666668</v>
          </cell>
          <cell r="AI113">
            <v>37.666666666666664</v>
          </cell>
          <cell r="AJ113">
            <v>70.333333333333329</v>
          </cell>
          <cell r="AK113">
            <v>92</v>
          </cell>
          <cell r="AL113">
            <v>15</v>
          </cell>
          <cell r="AM113">
            <v>0.12820512820512819</v>
          </cell>
          <cell r="AN113">
            <v>40.459465566917125</v>
          </cell>
          <cell r="AO113">
            <v>40.783940917661845</v>
          </cell>
          <cell r="AP113">
            <v>40.035332668471291</v>
          </cell>
          <cell r="AQ113">
            <v>44.155858006195722</v>
          </cell>
          <cell r="AR113">
            <v>46.076784484129085</v>
          </cell>
          <cell r="AS113" t="str">
            <v/>
          </cell>
          <cell r="AV113">
            <v>46.076784484129085</v>
          </cell>
        </row>
        <row r="114">
          <cell r="A114" t="str">
            <v>Pulmonary Medicine: General</v>
          </cell>
          <cell r="B114">
            <v>215143</v>
          </cell>
          <cell r="C114">
            <v>216300</v>
          </cell>
          <cell r="D114">
            <v>223550</v>
          </cell>
          <cell r="E114">
            <v>256860</v>
          </cell>
          <cell r="F114">
            <v>246700</v>
          </cell>
          <cell r="G114">
            <v>252061</v>
          </cell>
          <cell r="H114">
            <v>262420</v>
          </cell>
          <cell r="I114">
            <v>218331</v>
          </cell>
          <cell r="J114">
            <v>232236.66666666666</v>
          </cell>
          <cell r="K114">
            <v>242370</v>
          </cell>
          <cell r="L114">
            <v>251873.66666666666</v>
          </cell>
          <cell r="M114">
            <v>253727</v>
          </cell>
          <cell r="N114">
            <v>4850</v>
          </cell>
          <cell r="O114">
            <v>6360</v>
          </cell>
          <cell r="P114">
            <v>6559</v>
          </cell>
          <cell r="Q114">
            <v>5678</v>
          </cell>
          <cell r="R114">
            <v>6201</v>
          </cell>
          <cell r="S114">
            <v>6295</v>
          </cell>
          <cell r="T114">
            <v>6612</v>
          </cell>
          <cell r="U114">
            <v>5923</v>
          </cell>
          <cell r="V114">
            <v>6199</v>
          </cell>
          <cell r="W114">
            <v>6146</v>
          </cell>
          <cell r="X114">
            <v>6058</v>
          </cell>
          <cell r="Y114">
            <v>6369.333333333333</v>
          </cell>
          <cell r="Z114">
            <v>67</v>
          </cell>
          <cell r="AA114">
            <v>70</v>
          </cell>
          <cell r="AB114">
            <v>67</v>
          </cell>
          <cell r="AC114">
            <v>79</v>
          </cell>
          <cell r="AD114">
            <v>159</v>
          </cell>
          <cell r="AE114">
            <v>110</v>
          </cell>
          <cell r="AF114">
            <v>94</v>
          </cell>
          <cell r="AG114">
            <v>68</v>
          </cell>
          <cell r="AH114">
            <v>72</v>
          </cell>
          <cell r="AI114">
            <v>101.66666666666667</v>
          </cell>
          <cell r="AJ114">
            <v>116</v>
          </cell>
          <cell r="AK114">
            <v>121</v>
          </cell>
          <cell r="AL114">
            <v>11</v>
          </cell>
          <cell r="AM114">
            <v>0.1</v>
          </cell>
          <cell r="AN114">
            <v>36.86155664359277</v>
          </cell>
          <cell r="AO114">
            <v>37.463569392912831</v>
          </cell>
          <cell r="AP114">
            <v>39.435405141555485</v>
          </cell>
          <cell r="AQ114">
            <v>41.577033124243421</v>
          </cell>
          <cell r="AR114">
            <v>39.835723257274445</v>
          </cell>
          <cell r="AS114" t="str">
            <v/>
          </cell>
          <cell r="AV114">
            <v>39.835723257274445</v>
          </cell>
        </row>
        <row r="115">
          <cell r="A115" t="str">
            <v>Pulmonary Medicine: General and Critical Care</v>
          </cell>
          <cell r="B115">
            <v>240448</v>
          </cell>
          <cell r="C115">
            <v>234874</v>
          </cell>
          <cell r="D115">
            <v>294311</v>
          </cell>
          <cell r="E115">
            <v>262669</v>
          </cell>
          <cell r="F115">
            <v>265308</v>
          </cell>
          <cell r="G115">
            <v>283682</v>
          </cell>
          <cell r="H115">
            <v>299489</v>
          </cell>
          <cell r="I115">
            <v>256544.33333333334</v>
          </cell>
          <cell r="J115">
            <v>263951.33333333331</v>
          </cell>
          <cell r="K115">
            <v>274096</v>
          </cell>
          <cell r="L115">
            <v>270553</v>
          </cell>
          <cell r="M115">
            <v>282826.33333333331</v>
          </cell>
          <cell r="N115">
            <v>5617</v>
          </cell>
          <cell r="O115">
            <v>6917</v>
          </cell>
          <cell r="P115">
            <v>7211</v>
          </cell>
          <cell r="Q115">
            <v>7652</v>
          </cell>
          <cell r="R115">
            <v>6279</v>
          </cell>
          <cell r="S115">
            <v>6336</v>
          </cell>
          <cell r="T115">
            <v>6336</v>
          </cell>
          <cell r="U115">
            <v>6581.666666666667</v>
          </cell>
          <cell r="V115">
            <v>7260</v>
          </cell>
          <cell r="W115">
            <v>7047.333333333333</v>
          </cell>
          <cell r="X115">
            <v>6755.666666666667</v>
          </cell>
          <cell r="Y115">
            <v>6317</v>
          </cell>
          <cell r="Z115">
            <v>24</v>
          </cell>
          <cell r="AA115">
            <v>33</v>
          </cell>
          <cell r="AB115">
            <v>34</v>
          </cell>
          <cell r="AC115">
            <v>43</v>
          </cell>
          <cell r="AD115">
            <v>56</v>
          </cell>
          <cell r="AE115">
            <v>173</v>
          </cell>
          <cell r="AF115">
            <v>159</v>
          </cell>
          <cell r="AG115">
            <v>30.333333333333332</v>
          </cell>
          <cell r="AH115">
            <v>36.666666666666664</v>
          </cell>
          <cell r="AI115">
            <v>44.333333333333336</v>
          </cell>
          <cell r="AJ115">
            <v>90.666666666666671</v>
          </cell>
          <cell r="AK115">
            <v>129.33333333333334</v>
          </cell>
          <cell r="AL115">
            <v>8</v>
          </cell>
          <cell r="AM115">
            <v>4.6242774566473986E-2</v>
          </cell>
          <cell r="AN115">
            <v>38.978627500633074</v>
          </cell>
          <cell r="AO115">
            <v>36.356932966023869</v>
          </cell>
          <cell r="AP115">
            <v>38.893576766625678</v>
          </cell>
          <cell r="AQ115">
            <v>40.048305126560415</v>
          </cell>
          <cell r="AR115">
            <v>44.772254762281669</v>
          </cell>
          <cell r="AS115" t="str">
            <v/>
          </cell>
          <cell r="AV115">
            <v>44.772254762281669</v>
          </cell>
        </row>
        <row r="116">
          <cell r="A116" t="str">
            <v>Radiation Oncology</v>
          </cell>
          <cell r="B116">
            <v>381000</v>
          </cell>
          <cell r="C116">
            <v>381000</v>
          </cell>
          <cell r="D116">
            <v>392865</v>
          </cell>
          <cell r="E116">
            <v>441066</v>
          </cell>
          <cell r="F116">
            <v>405841</v>
          </cell>
          <cell r="G116">
            <v>428860</v>
          </cell>
          <cell r="H116">
            <v>445482</v>
          </cell>
          <cell r="I116">
            <v>384955</v>
          </cell>
          <cell r="J116">
            <v>404977</v>
          </cell>
          <cell r="K116">
            <v>413257.33333333331</v>
          </cell>
          <cell r="L116">
            <v>425255.66666666669</v>
          </cell>
          <cell r="M116">
            <v>426727.66666666669</v>
          </cell>
          <cell r="N116">
            <v>10453</v>
          </cell>
          <cell r="O116">
            <v>9827</v>
          </cell>
          <cell r="P116">
            <v>8809</v>
          </cell>
          <cell r="Q116">
            <v>10089</v>
          </cell>
          <cell r="R116">
            <v>8324</v>
          </cell>
          <cell r="S116">
            <v>10379</v>
          </cell>
          <cell r="T116">
            <v>10212</v>
          </cell>
          <cell r="U116">
            <v>9696.3333333333339</v>
          </cell>
          <cell r="V116">
            <v>9575</v>
          </cell>
          <cell r="W116">
            <v>9074</v>
          </cell>
          <cell r="X116">
            <v>9597.3333333333339</v>
          </cell>
          <cell r="Y116">
            <v>9638.3333333333339</v>
          </cell>
          <cell r="Z116">
            <v>107</v>
          </cell>
          <cell r="AA116">
            <v>85</v>
          </cell>
          <cell r="AB116">
            <v>87</v>
          </cell>
          <cell r="AC116">
            <v>125</v>
          </cell>
          <cell r="AD116">
            <v>143</v>
          </cell>
          <cell r="AE116">
            <v>181</v>
          </cell>
          <cell r="AF116">
            <v>198</v>
          </cell>
          <cell r="AG116">
            <v>93</v>
          </cell>
          <cell r="AH116">
            <v>99</v>
          </cell>
          <cell r="AI116">
            <v>118.33333333333333</v>
          </cell>
          <cell r="AJ116">
            <v>149.66666666666666</v>
          </cell>
          <cell r="AK116">
            <v>174</v>
          </cell>
          <cell r="AL116">
            <v>20</v>
          </cell>
          <cell r="AM116">
            <v>0.11049723756906077</v>
          </cell>
          <cell r="AN116">
            <v>39.701089759015431</v>
          </cell>
          <cell r="AO116">
            <v>42.295248041775459</v>
          </cell>
          <cell r="AP116">
            <v>45.543016677687163</v>
          </cell>
          <cell r="AQ116">
            <v>44.309773548207836</v>
          </cell>
          <cell r="AR116">
            <v>44.274010029396507</v>
          </cell>
          <cell r="AS116" t="str">
            <v/>
          </cell>
          <cell r="AV116">
            <v>44.274010029396507</v>
          </cell>
        </row>
        <row r="117">
          <cell r="A117" t="str">
            <v>Radiology: Diagnostic</v>
          </cell>
          <cell r="B117">
            <v>345407</v>
          </cell>
          <cell r="C117">
            <v>346439</v>
          </cell>
          <cell r="D117">
            <v>357150</v>
          </cell>
          <cell r="E117">
            <v>399346</v>
          </cell>
          <cell r="F117">
            <v>376798</v>
          </cell>
          <cell r="G117">
            <v>390220</v>
          </cell>
          <cell r="H117">
            <v>406738</v>
          </cell>
          <cell r="I117">
            <v>349665.33333333331</v>
          </cell>
          <cell r="J117">
            <v>367645</v>
          </cell>
          <cell r="K117">
            <v>377764.66666666669</v>
          </cell>
          <cell r="L117">
            <v>388788</v>
          </cell>
          <cell r="M117">
            <v>391252</v>
          </cell>
          <cell r="N117">
            <v>7392</v>
          </cell>
          <cell r="O117">
            <v>7995</v>
          </cell>
          <cell r="P117">
            <v>7605</v>
          </cell>
          <cell r="Q117">
            <v>7719</v>
          </cell>
          <cell r="R117">
            <v>8421</v>
          </cell>
          <cell r="S117">
            <v>8850</v>
          </cell>
          <cell r="T117">
            <v>8451</v>
          </cell>
          <cell r="U117">
            <v>7664</v>
          </cell>
          <cell r="V117">
            <v>7773</v>
          </cell>
          <cell r="W117">
            <v>7915</v>
          </cell>
          <cell r="X117">
            <v>8330</v>
          </cell>
          <cell r="Y117">
            <v>8574</v>
          </cell>
          <cell r="Z117">
            <v>555</v>
          </cell>
          <cell r="AA117">
            <v>438</v>
          </cell>
          <cell r="AB117">
            <v>457</v>
          </cell>
          <cell r="AC117">
            <v>466</v>
          </cell>
          <cell r="AD117">
            <v>629</v>
          </cell>
          <cell r="AE117">
            <v>769</v>
          </cell>
          <cell r="AF117">
            <v>731</v>
          </cell>
          <cell r="AG117">
            <v>483.33333333333331</v>
          </cell>
          <cell r="AH117">
            <v>453.66666666666669</v>
          </cell>
          <cell r="AI117">
            <v>517.33333333333337</v>
          </cell>
          <cell r="AJ117">
            <v>621.33333333333337</v>
          </cell>
          <cell r="AK117">
            <v>709.66666666666663</v>
          </cell>
          <cell r="AL117">
            <v>15</v>
          </cell>
          <cell r="AM117">
            <v>1.950585175552666E-2</v>
          </cell>
          <cell r="AN117">
            <v>45.624391092553928</v>
          </cell>
          <cell r="AO117">
            <v>47.29769715682491</v>
          </cell>
          <cell r="AP117">
            <v>47.727690040008426</v>
          </cell>
          <cell r="AQ117">
            <v>46.673229291716687</v>
          </cell>
          <cell r="AR117">
            <v>45.632376953580589</v>
          </cell>
          <cell r="AS117" t="str">
            <v/>
          </cell>
          <cell r="AV117">
            <v>45.632376953580589</v>
          </cell>
        </row>
        <row r="118">
          <cell r="A118" t="str">
            <v>Radiology: Interventional</v>
          </cell>
          <cell r="B118">
            <v>376294</v>
          </cell>
          <cell r="C118">
            <v>383289</v>
          </cell>
          <cell r="D118">
            <v>408063</v>
          </cell>
          <cell r="E118">
            <v>421726</v>
          </cell>
          <cell r="F118">
            <v>441852</v>
          </cell>
          <cell r="G118">
            <v>442378</v>
          </cell>
          <cell r="H118">
            <v>462689</v>
          </cell>
          <cell r="I118">
            <v>389215.33333333331</v>
          </cell>
          <cell r="J118">
            <v>404359.33333333331</v>
          </cell>
          <cell r="K118">
            <v>423880.33333333331</v>
          </cell>
          <cell r="L118">
            <v>435318.66666666669</v>
          </cell>
          <cell r="M118">
            <v>448973</v>
          </cell>
          <cell r="N118">
            <v>7686</v>
          </cell>
          <cell r="O118">
            <v>8489</v>
          </cell>
          <cell r="P118">
            <v>8080</v>
          </cell>
          <cell r="Q118">
            <v>7437</v>
          </cell>
          <cell r="R118">
            <v>7011</v>
          </cell>
          <cell r="S118">
            <v>7517</v>
          </cell>
          <cell r="T118">
            <v>6495</v>
          </cell>
          <cell r="U118">
            <v>8085</v>
          </cell>
          <cell r="V118">
            <v>8002</v>
          </cell>
          <cell r="W118">
            <v>7509.333333333333</v>
          </cell>
          <cell r="X118">
            <v>7321.666666666667</v>
          </cell>
          <cell r="Y118">
            <v>7007.666666666667</v>
          </cell>
          <cell r="Z118">
            <v>124</v>
          </cell>
          <cell r="AA118">
            <v>69</v>
          </cell>
          <cell r="AB118">
            <v>72</v>
          </cell>
          <cell r="AC118">
            <v>88</v>
          </cell>
          <cell r="AD118">
            <v>133</v>
          </cell>
          <cell r="AE118">
            <v>167</v>
          </cell>
          <cell r="AF118">
            <v>142</v>
          </cell>
          <cell r="AG118">
            <v>88.333333333333329</v>
          </cell>
          <cell r="AH118">
            <v>76.333333333333329</v>
          </cell>
          <cell r="AI118">
            <v>97.666666666666671</v>
          </cell>
          <cell r="AJ118">
            <v>129.33333333333334</v>
          </cell>
          <cell r="AK118">
            <v>147.33333333333334</v>
          </cell>
          <cell r="AL118">
            <v>10</v>
          </cell>
          <cell r="AM118">
            <v>5.9880239520958084E-2</v>
          </cell>
          <cell r="AN118">
            <v>48.140424654710365</v>
          </cell>
          <cell r="AO118">
            <v>50.532283595767723</v>
          </cell>
          <cell r="AP118">
            <v>56.447132457386367</v>
          </cell>
          <cell r="AQ118">
            <v>59.456225813794674</v>
          </cell>
          <cell r="AR118">
            <v>64.068829377348621</v>
          </cell>
          <cell r="AS118" t="str">
            <v/>
          </cell>
          <cell r="AV118">
            <v>64.068829377348621</v>
          </cell>
        </row>
        <row r="119">
          <cell r="A119" t="str">
            <v>Radiology: Neurological</v>
          </cell>
          <cell r="B119">
            <v>339065</v>
          </cell>
          <cell r="C119">
            <v>349056</v>
          </cell>
          <cell r="D119">
            <v>367300</v>
          </cell>
          <cell r="E119">
            <v>399984</v>
          </cell>
          <cell r="F119">
            <v>405370</v>
          </cell>
          <cell r="G119">
            <v>410145</v>
          </cell>
          <cell r="H119">
            <v>435416</v>
          </cell>
          <cell r="I119">
            <v>351807</v>
          </cell>
          <cell r="J119">
            <v>372113.33333333331</v>
          </cell>
          <cell r="K119">
            <v>390884.66666666669</v>
          </cell>
          <cell r="L119">
            <v>405166.33333333331</v>
          </cell>
          <cell r="M119">
            <v>416977</v>
          </cell>
          <cell r="N119">
            <v>12074</v>
          </cell>
          <cell r="O119">
            <v>10913</v>
          </cell>
          <cell r="P119">
            <v>11546</v>
          </cell>
          <cell r="Q119">
            <v>11395</v>
          </cell>
          <cell r="R119">
            <v>11778</v>
          </cell>
          <cell r="S119">
            <v>11742</v>
          </cell>
          <cell r="T119">
            <v>11592</v>
          </cell>
          <cell r="U119">
            <v>11511</v>
          </cell>
          <cell r="V119">
            <v>11284.666666666666</v>
          </cell>
          <cell r="W119">
            <v>11573</v>
          </cell>
          <cell r="X119">
            <v>11638.333333333334</v>
          </cell>
          <cell r="Y119">
            <v>11704</v>
          </cell>
          <cell r="Z119">
            <v>44</v>
          </cell>
          <cell r="AA119">
            <v>54</v>
          </cell>
          <cell r="AB119">
            <v>63</v>
          </cell>
          <cell r="AC119">
            <v>74</v>
          </cell>
          <cell r="AD119">
            <v>97</v>
          </cell>
          <cell r="AE119">
            <v>91</v>
          </cell>
          <cell r="AF119">
            <v>85</v>
          </cell>
          <cell r="AG119">
            <v>53.666666666666664</v>
          </cell>
          <cell r="AH119">
            <v>63.666666666666664</v>
          </cell>
          <cell r="AI119">
            <v>78</v>
          </cell>
          <cell r="AJ119">
            <v>87.333333333333329</v>
          </cell>
          <cell r="AK119">
            <v>91</v>
          </cell>
          <cell r="AL119">
            <v>7</v>
          </cell>
          <cell r="AM119">
            <v>7.6923076923076927E-2</v>
          </cell>
          <cell r="AN119">
            <v>30.562679176439929</v>
          </cell>
          <cell r="AO119">
            <v>32.975128492940271</v>
          </cell>
          <cell r="AP119">
            <v>33.775569572856362</v>
          </cell>
          <cell r="AQ119">
            <v>34.813088930259198</v>
          </cell>
          <cell r="AR119">
            <v>35.626879699248121</v>
          </cell>
          <cell r="AS119" t="str">
            <v/>
          </cell>
          <cell r="AV119">
            <v>35.626879699248121</v>
          </cell>
        </row>
        <row r="120">
          <cell r="A120" t="str">
            <v>Radiology: Nuclear Medicine</v>
          </cell>
          <cell r="B120">
            <v>303184</v>
          </cell>
          <cell r="C120">
            <v>306218</v>
          </cell>
          <cell r="D120">
            <v>319358</v>
          </cell>
          <cell r="E120">
            <v>349378</v>
          </cell>
          <cell r="F120">
            <v>341158</v>
          </cell>
          <cell r="G120">
            <v>344169</v>
          </cell>
          <cell r="H120">
            <v>390151</v>
          </cell>
          <cell r="I120">
            <v>309586.66666666669</v>
          </cell>
          <cell r="J120">
            <v>324984.66666666669</v>
          </cell>
          <cell r="K120">
            <v>336631.33333333331</v>
          </cell>
          <cell r="L120">
            <v>344901.66666666669</v>
          </cell>
          <cell r="M120">
            <v>358492.66666666669</v>
          </cell>
          <cell r="N120">
            <v>4970</v>
          </cell>
          <cell r="O120">
            <v>5224</v>
          </cell>
          <cell r="P120">
            <v>5357</v>
          </cell>
          <cell r="Q120">
            <v>5723</v>
          </cell>
          <cell r="R120">
            <v>5581</v>
          </cell>
          <cell r="S120">
            <v>5823</v>
          </cell>
          <cell r="T120">
            <v>5911</v>
          </cell>
          <cell r="U120">
            <v>5183.666666666667</v>
          </cell>
          <cell r="V120">
            <v>5434.666666666667</v>
          </cell>
          <cell r="W120">
            <v>5553.666666666667</v>
          </cell>
          <cell r="X120">
            <v>5709</v>
          </cell>
          <cell r="Y120">
            <v>5771.666666666667</v>
          </cell>
          <cell r="Z120">
            <v>40</v>
          </cell>
          <cell r="AA120">
            <v>44</v>
          </cell>
          <cell r="AB120">
            <v>40</v>
          </cell>
          <cell r="AC120">
            <v>45</v>
          </cell>
          <cell r="AD120">
            <v>43</v>
          </cell>
          <cell r="AE120">
            <v>46</v>
          </cell>
          <cell r="AF120">
            <v>41</v>
          </cell>
          <cell r="AG120">
            <v>41.333333333333336</v>
          </cell>
          <cell r="AH120">
            <v>43</v>
          </cell>
          <cell r="AI120">
            <v>42.666666666666664</v>
          </cell>
          <cell r="AJ120">
            <v>44.666666666666664</v>
          </cell>
          <cell r="AK120">
            <v>43.333333333333336</v>
          </cell>
          <cell r="AL120">
            <v>3</v>
          </cell>
          <cell r="AM120">
            <v>6.5217391304347824E-2</v>
          </cell>
          <cell r="AN120">
            <v>59.723490450774868</v>
          </cell>
          <cell r="AO120">
            <v>59.798454367026494</v>
          </cell>
          <cell r="AP120">
            <v>60.614248844607161</v>
          </cell>
          <cell r="AQ120">
            <v>60.413674315408421</v>
          </cell>
          <cell r="AR120">
            <v>62.112503609587066</v>
          </cell>
          <cell r="AS120" t="str">
            <v/>
          </cell>
          <cell r="AV120">
            <v>62.112503609587066</v>
          </cell>
        </row>
        <row r="121">
          <cell r="A121" t="str">
            <v>Rheumatology</v>
          </cell>
          <cell r="B121">
            <v>189520</v>
          </cell>
          <cell r="C121">
            <v>185809</v>
          </cell>
          <cell r="D121">
            <v>192281</v>
          </cell>
          <cell r="E121">
            <v>198277</v>
          </cell>
          <cell r="F121">
            <v>198901</v>
          </cell>
          <cell r="G121">
            <v>208525</v>
          </cell>
          <cell r="H121">
            <v>213839</v>
          </cell>
          <cell r="I121">
            <v>189203.33333333334</v>
          </cell>
          <cell r="J121">
            <v>192122.33333333334</v>
          </cell>
          <cell r="K121">
            <v>196486.33333333334</v>
          </cell>
          <cell r="L121">
            <v>201901</v>
          </cell>
          <cell r="M121">
            <v>207088.33333333334</v>
          </cell>
          <cell r="N121">
            <v>4230</v>
          </cell>
          <cell r="O121">
            <v>4374</v>
          </cell>
          <cell r="P121">
            <v>4167</v>
          </cell>
          <cell r="Q121">
            <v>4203</v>
          </cell>
          <cell r="R121">
            <v>4229</v>
          </cell>
          <cell r="S121">
            <v>4442</v>
          </cell>
          <cell r="T121">
            <v>3797</v>
          </cell>
          <cell r="U121">
            <v>4257</v>
          </cell>
          <cell r="V121">
            <v>4248</v>
          </cell>
          <cell r="W121">
            <v>4199.666666666667</v>
          </cell>
          <cell r="X121">
            <v>4291.333333333333</v>
          </cell>
          <cell r="Y121">
            <v>4156</v>
          </cell>
          <cell r="Z121">
            <v>49</v>
          </cell>
          <cell r="AA121">
            <v>60</v>
          </cell>
          <cell r="AB121">
            <v>49</v>
          </cell>
          <cell r="AC121">
            <v>94</v>
          </cell>
          <cell r="AD121">
            <v>106</v>
          </cell>
          <cell r="AE121">
            <v>147</v>
          </cell>
          <cell r="AF121">
            <v>137</v>
          </cell>
          <cell r="AG121">
            <v>52.666666666666664</v>
          </cell>
          <cell r="AH121">
            <v>67.666666666666671</v>
          </cell>
          <cell r="AI121">
            <v>83</v>
          </cell>
          <cell r="AJ121">
            <v>115.66666666666667</v>
          </cell>
          <cell r="AK121">
            <v>130</v>
          </cell>
          <cell r="AL121">
            <v>8</v>
          </cell>
          <cell r="AM121">
            <v>5.4421768707482991E-2</v>
          </cell>
          <cell r="AN121">
            <v>44.445227468483282</v>
          </cell>
          <cell r="AO121">
            <v>45.226537978656623</v>
          </cell>
          <cell r="AP121">
            <v>46.786173505833794</v>
          </cell>
          <cell r="AQ121">
            <v>47.048547459996897</v>
          </cell>
          <cell r="AR121">
            <v>49.828761629772217</v>
          </cell>
          <cell r="AS121" t="str">
            <v/>
          </cell>
          <cell r="AV121">
            <v>49.828761629772217</v>
          </cell>
        </row>
        <row r="122">
          <cell r="A122" t="str">
            <v>Sleep Medicine</v>
          </cell>
          <cell r="B122">
            <v>197436</v>
          </cell>
          <cell r="C122">
            <v>192862</v>
          </cell>
          <cell r="D122">
            <v>217424</v>
          </cell>
          <cell r="E122">
            <v>226784</v>
          </cell>
          <cell r="F122">
            <v>213032</v>
          </cell>
          <cell r="G122">
            <v>224478</v>
          </cell>
          <cell r="H122">
            <v>226416</v>
          </cell>
          <cell r="I122">
            <v>202574</v>
          </cell>
          <cell r="J122">
            <v>212356.66666666666</v>
          </cell>
          <cell r="K122">
            <v>219080</v>
          </cell>
          <cell r="L122">
            <v>221431.33333333334</v>
          </cell>
          <cell r="M122">
            <v>221308.66666666666</v>
          </cell>
          <cell r="N122">
            <v>3102</v>
          </cell>
          <cell r="O122" t="str">
            <v>*</v>
          </cell>
          <cell r="P122" t="str">
            <v>*</v>
          </cell>
          <cell r="Q122">
            <v>3842</v>
          </cell>
          <cell r="R122">
            <v>4593</v>
          </cell>
          <cell r="S122">
            <v>4737</v>
          </cell>
          <cell r="T122">
            <v>3931</v>
          </cell>
          <cell r="U122">
            <v>3102</v>
          </cell>
          <cell r="V122">
            <v>3842</v>
          </cell>
          <cell r="W122">
            <v>4217.5</v>
          </cell>
          <cell r="X122">
            <v>4390.666666666667</v>
          </cell>
          <cell r="Y122">
            <v>4420.333333333333</v>
          </cell>
          <cell r="Z122">
            <v>10</v>
          </cell>
          <cell r="AA122">
            <v>1</v>
          </cell>
          <cell r="AB122">
            <v>5</v>
          </cell>
          <cell r="AC122">
            <v>22</v>
          </cell>
          <cell r="AD122">
            <v>21</v>
          </cell>
          <cell r="AE122">
            <v>33</v>
          </cell>
          <cell r="AF122">
            <v>35</v>
          </cell>
          <cell r="AG122">
            <v>5.333333333333333</v>
          </cell>
          <cell r="AH122">
            <v>9.3333333333333339</v>
          </cell>
          <cell r="AI122">
            <v>16</v>
          </cell>
          <cell r="AJ122">
            <v>25.333333333333332</v>
          </cell>
          <cell r="AK122">
            <v>29.666666666666668</v>
          </cell>
          <cell r="AL122">
            <v>0</v>
          </cell>
          <cell r="AM122">
            <v>0</v>
          </cell>
          <cell r="AN122">
            <v>65.304319793681501</v>
          </cell>
          <cell r="AO122">
            <v>55.272427555092833</v>
          </cell>
          <cell r="AP122">
            <v>51.945465323058684</v>
          </cell>
          <cell r="AQ122">
            <v>50.432280595201945</v>
          </cell>
          <cell r="AR122">
            <v>50.06605836663902</v>
          </cell>
          <cell r="AS122" t="str">
            <v/>
          </cell>
          <cell r="AV122">
            <v>50.06605836663902</v>
          </cell>
        </row>
        <row r="123">
          <cell r="A123" t="str">
            <v>Surgery: Bariatric</v>
          </cell>
          <cell r="B123" t="str">
            <v>*</v>
          </cell>
          <cell r="C123" t="str">
            <v>*</v>
          </cell>
          <cell r="D123">
            <v>467590</v>
          </cell>
          <cell r="E123">
            <v>397854</v>
          </cell>
          <cell r="F123">
            <v>381775</v>
          </cell>
          <cell r="G123">
            <v>368726</v>
          </cell>
          <cell r="H123">
            <v>420823</v>
          </cell>
          <cell r="I123" t="str">
            <v>*</v>
          </cell>
          <cell r="J123" t="str">
            <v>*</v>
          </cell>
          <cell r="K123">
            <v>415739.66666666669</v>
          </cell>
          <cell r="L123">
            <v>382785</v>
          </cell>
          <cell r="M123">
            <v>390441.33333333331</v>
          </cell>
          <cell r="N123" t="str">
            <v>*</v>
          </cell>
          <cell r="O123" t="str">
            <v>*</v>
          </cell>
          <cell r="P123" t="str">
            <v>*</v>
          </cell>
          <cell r="Q123">
            <v>6974</v>
          </cell>
          <cell r="R123">
            <v>7405</v>
          </cell>
          <cell r="S123">
            <v>8120</v>
          </cell>
          <cell r="T123">
            <v>5741</v>
          </cell>
          <cell r="U123" t="str">
            <v>*</v>
          </cell>
          <cell r="V123" t="str">
            <v>*</v>
          </cell>
          <cell r="W123">
            <v>7189.5</v>
          </cell>
          <cell r="X123">
            <v>7499.666666666667</v>
          </cell>
          <cell r="Y123">
            <v>7088.666666666667</v>
          </cell>
          <cell r="Z123" t="str">
            <v>*</v>
          </cell>
          <cell r="AA123" t="str">
            <v>*</v>
          </cell>
          <cell r="AB123" t="str">
            <v>*</v>
          </cell>
          <cell r="AC123">
            <v>11</v>
          </cell>
          <cell r="AD123">
            <v>14</v>
          </cell>
          <cell r="AE123">
            <v>20</v>
          </cell>
          <cell r="AF123">
            <v>21</v>
          </cell>
          <cell r="AG123" t="str">
            <v>*</v>
          </cell>
          <cell r="AH123" t="str">
            <v>*</v>
          </cell>
          <cell r="AI123">
            <v>12.5</v>
          </cell>
          <cell r="AJ123">
            <v>15</v>
          </cell>
          <cell r="AK123">
            <v>18.333333333333332</v>
          </cell>
          <cell r="AL123">
            <v>0</v>
          </cell>
          <cell r="AM123">
            <v>0</v>
          </cell>
          <cell r="AN123" t="str">
            <v>*</v>
          </cell>
          <cell r="AO123" t="str">
            <v>*</v>
          </cell>
          <cell r="AP123">
            <v>57.825949880612932</v>
          </cell>
          <cell r="AQ123">
            <v>51.040268456375834</v>
          </cell>
          <cell r="AR123">
            <v>55.079657669519413</v>
          </cell>
          <cell r="AS123" t="str">
            <v/>
          </cell>
          <cell r="AV123">
            <v>55.079657669519413</v>
          </cell>
        </row>
        <row r="124">
          <cell r="A124" t="str">
            <v>Surgery: Breast</v>
          </cell>
          <cell r="B124">
            <v>300595</v>
          </cell>
          <cell r="C124">
            <v>350805</v>
          </cell>
          <cell r="D124">
            <v>336557</v>
          </cell>
          <cell r="E124">
            <v>367961</v>
          </cell>
          <cell r="F124">
            <v>361819</v>
          </cell>
          <cell r="G124">
            <v>328831</v>
          </cell>
          <cell r="H124">
            <v>389106</v>
          </cell>
          <cell r="I124">
            <v>329319</v>
          </cell>
          <cell r="J124">
            <v>351774.33333333331</v>
          </cell>
          <cell r="K124">
            <v>355445.66666666669</v>
          </cell>
          <cell r="L124">
            <v>352870.33333333331</v>
          </cell>
          <cell r="M124">
            <v>359918.66666666669</v>
          </cell>
          <cell r="N124">
            <v>7010</v>
          </cell>
          <cell r="O124" t="str">
            <v>*</v>
          </cell>
          <cell r="P124">
            <v>6393</v>
          </cell>
          <cell r="Q124">
            <v>5478</v>
          </cell>
          <cell r="R124">
            <v>6853</v>
          </cell>
          <cell r="S124">
            <v>6511</v>
          </cell>
          <cell r="T124">
            <v>5889</v>
          </cell>
          <cell r="U124">
            <v>6701.5</v>
          </cell>
          <cell r="V124">
            <v>5935.5</v>
          </cell>
          <cell r="W124">
            <v>6241.333333333333</v>
          </cell>
          <cell r="X124">
            <v>6280.666666666667</v>
          </cell>
          <cell r="Y124">
            <v>6417.666666666667</v>
          </cell>
          <cell r="Z124">
            <v>11</v>
          </cell>
          <cell r="AA124">
            <v>9</v>
          </cell>
          <cell r="AB124">
            <v>13</v>
          </cell>
          <cell r="AC124">
            <v>17</v>
          </cell>
          <cell r="AD124">
            <v>18</v>
          </cell>
          <cell r="AE124">
            <v>25</v>
          </cell>
          <cell r="AF124">
            <v>32</v>
          </cell>
          <cell r="AG124">
            <v>11</v>
          </cell>
          <cell r="AH124">
            <v>13</v>
          </cell>
          <cell r="AI124">
            <v>16</v>
          </cell>
          <cell r="AJ124">
            <v>20</v>
          </cell>
          <cell r="AK124">
            <v>25</v>
          </cell>
          <cell r="AL124">
            <v>1</v>
          </cell>
          <cell r="AM124">
            <v>0.04</v>
          </cell>
          <cell r="AN124">
            <v>49.141087816160564</v>
          </cell>
          <cell r="AO124">
            <v>59.26616684918428</v>
          </cell>
          <cell r="AP124">
            <v>56.95027771843624</v>
          </cell>
          <cell r="AQ124">
            <v>56.183579237872834</v>
          </cell>
          <cell r="AR124">
            <v>56.082480652365867</v>
          </cell>
          <cell r="AS124" t="str">
            <v/>
          </cell>
          <cell r="AV124">
            <v>56.082480652365867</v>
          </cell>
        </row>
        <row r="125">
          <cell r="A125" t="str">
            <v>Surgery: Cardiovascular</v>
          </cell>
          <cell r="B125">
            <v>593954</v>
          </cell>
          <cell r="C125">
            <v>564648</v>
          </cell>
          <cell r="D125">
            <v>561952</v>
          </cell>
          <cell r="E125">
            <v>617305</v>
          </cell>
          <cell r="F125">
            <v>662056</v>
          </cell>
          <cell r="G125">
            <v>648522</v>
          </cell>
          <cell r="H125">
            <v>660579</v>
          </cell>
          <cell r="I125">
            <v>573518</v>
          </cell>
          <cell r="J125">
            <v>581301.66666666663</v>
          </cell>
          <cell r="K125">
            <v>613771</v>
          </cell>
          <cell r="L125">
            <v>642627.66666666663</v>
          </cell>
          <cell r="M125">
            <v>657052.33333333337</v>
          </cell>
          <cell r="N125">
            <v>13385</v>
          </cell>
          <cell r="O125">
            <v>12307</v>
          </cell>
          <cell r="P125">
            <v>12809</v>
          </cell>
          <cell r="Q125">
            <v>11659</v>
          </cell>
          <cell r="R125">
            <v>10644</v>
          </cell>
          <cell r="S125">
            <v>12170</v>
          </cell>
          <cell r="T125">
            <v>9730</v>
          </cell>
          <cell r="U125">
            <v>12833.666666666666</v>
          </cell>
          <cell r="V125">
            <v>12258.333333333334</v>
          </cell>
          <cell r="W125">
            <v>11704</v>
          </cell>
          <cell r="X125">
            <v>11491</v>
          </cell>
          <cell r="Y125">
            <v>10848</v>
          </cell>
          <cell r="Z125">
            <v>51</v>
          </cell>
          <cell r="AA125">
            <v>43</v>
          </cell>
          <cell r="AB125">
            <v>43</v>
          </cell>
          <cell r="AC125">
            <v>52</v>
          </cell>
          <cell r="AD125">
            <v>99</v>
          </cell>
          <cell r="AE125">
            <v>126</v>
          </cell>
          <cell r="AF125">
            <v>119</v>
          </cell>
          <cell r="AG125">
            <v>45.666666666666664</v>
          </cell>
          <cell r="AH125">
            <v>46</v>
          </cell>
          <cell r="AI125">
            <v>64.666666666666671</v>
          </cell>
          <cell r="AJ125">
            <v>92.333333333333329</v>
          </cell>
          <cell r="AK125">
            <v>114.66666666666667</v>
          </cell>
          <cell r="AL125">
            <v>5</v>
          </cell>
          <cell r="AM125">
            <v>3.968253968253968E-2</v>
          </cell>
          <cell r="AN125">
            <v>44.688553544063794</v>
          </cell>
          <cell r="AO125">
            <v>47.420938137321542</v>
          </cell>
          <cell r="AP125">
            <v>52.441131237183868</v>
          </cell>
          <cell r="AQ125">
            <v>55.92443361471296</v>
          </cell>
          <cell r="AR125">
            <v>60.56898352999017</v>
          </cell>
          <cell r="AS125" t="str">
            <v/>
          </cell>
          <cell r="AV125">
            <v>60.56898352999017</v>
          </cell>
        </row>
        <row r="126">
          <cell r="A126" t="str">
            <v>Surgery: Colon and Rectal</v>
          </cell>
          <cell r="B126">
            <v>340000</v>
          </cell>
          <cell r="C126">
            <v>371235</v>
          </cell>
          <cell r="D126">
            <v>339750</v>
          </cell>
          <cell r="E126">
            <v>434140</v>
          </cell>
          <cell r="F126">
            <v>374082</v>
          </cell>
          <cell r="G126">
            <v>389124</v>
          </cell>
          <cell r="H126">
            <v>392639</v>
          </cell>
          <cell r="I126">
            <v>350328.33333333331</v>
          </cell>
          <cell r="J126">
            <v>381708.33333333331</v>
          </cell>
          <cell r="K126">
            <v>382657.33333333331</v>
          </cell>
          <cell r="L126">
            <v>399115.33333333331</v>
          </cell>
          <cell r="M126">
            <v>385281.66666666669</v>
          </cell>
          <cell r="N126">
            <v>8465</v>
          </cell>
          <cell r="O126">
            <v>8821</v>
          </cell>
          <cell r="P126">
            <v>8861</v>
          </cell>
          <cell r="Q126">
            <v>8499</v>
          </cell>
          <cell r="R126">
            <v>7308</v>
          </cell>
          <cell r="S126">
            <v>7931</v>
          </cell>
          <cell r="T126">
            <v>7136</v>
          </cell>
          <cell r="U126">
            <v>8715.6666666666661</v>
          </cell>
          <cell r="V126">
            <v>8727</v>
          </cell>
          <cell r="W126">
            <v>8222.6666666666661</v>
          </cell>
          <cell r="X126">
            <v>7912.666666666667</v>
          </cell>
          <cell r="Y126">
            <v>7458.333333333333</v>
          </cell>
          <cell r="Z126">
            <v>32</v>
          </cell>
          <cell r="AA126">
            <v>20</v>
          </cell>
          <cell r="AB126">
            <v>33</v>
          </cell>
          <cell r="AC126">
            <v>47</v>
          </cell>
          <cell r="AD126">
            <v>53</v>
          </cell>
          <cell r="AE126">
            <v>63</v>
          </cell>
          <cell r="AF126">
            <v>76</v>
          </cell>
          <cell r="AG126">
            <v>28.333333333333332</v>
          </cell>
          <cell r="AH126">
            <v>33.333333333333336</v>
          </cell>
          <cell r="AI126">
            <v>44.333333333333336</v>
          </cell>
          <cell r="AJ126">
            <v>54.333333333333336</v>
          </cell>
          <cell r="AK126">
            <v>64</v>
          </cell>
          <cell r="AL126">
            <v>3</v>
          </cell>
          <cell r="AM126">
            <v>4.7619047619047616E-2</v>
          </cell>
          <cell r="AN126">
            <v>40.195242284009638</v>
          </cell>
          <cell r="AO126">
            <v>43.738780031320424</v>
          </cell>
          <cell r="AP126">
            <v>46.536889897843359</v>
          </cell>
          <cell r="AQ126">
            <v>50.44005392198163</v>
          </cell>
          <cell r="AR126">
            <v>51.657877094972072</v>
          </cell>
          <cell r="AS126" t="str">
            <v/>
          </cell>
          <cell r="AV126">
            <v>51.657877094972072</v>
          </cell>
        </row>
        <row r="127">
          <cell r="A127" t="str">
            <v>Surgery: Endocrine</v>
          </cell>
          <cell r="B127" t="str">
            <v>*</v>
          </cell>
          <cell r="C127" t="str">
            <v>*</v>
          </cell>
          <cell r="D127" t="str">
            <v>*</v>
          </cell>
          <cell r="E127" t="str">
            <v>*</v>
          </cell>
          <cell r="F127" t="str">
            <v>*</v>
          </cell>
          <cell r="G127" t="str">
            <v>*</v>
          </cell>
          <cell r="H127" t="str">
            <v>*</v>
          </cell>
          <cell r="I127" t="str">
            <v>*</v>
          </cell>
          <cell r="J127" t="str">
            <v>*</v>
          </cell>
          <cell r="K127" t="str">
            <v>*</v>
          </cell>
          <cell r="L127" t="str">
            <v>*</v>
          </cell>
          <cell r="M127" t="str">
            <v>*</v>
          </cell>
          <cell r="N127" t="str">
            <v>*</v>
          </cell>
          <cell r="O127" t="str">
            <v>*</v>
          </cell>
          <cell r="P127" t="str">
            <v>*</v>
          </cell>
          <cell r="Q127" t="str">
            <v>*</v>
          </cell>
          <cell r="R127" t="str">
            <v>*</v>
          </cell>
          <cell r="S127" t="str">
            <v>*</v>
          </cell>
          <cell r="T127" t="str">
            <v>*</v>
          </cell>
          <cell r="U127" t="str">
            <v>*</v>
          </cell>
          <cell r="V127" t="str">
            <v>*</v>
          </cell>
          <cell r="W127" t="str">
            <v>*</v>
          </cell>
          <cell r="X127" t="str">
            <v>*</v>
          </cell>
          <cell r="Y127" t="str">
            <v>*</v>
          </cell>
          <cell r="Z127" t="str">
            <v>*</v>
          </cell>
          <cell r="AA127" t="str">
            <v>*</v>
          </cell>
          <cell r="AB127" t="str">
            <v>*</v>
          </cell>
          <cell r="AC127" t="str">
            <v>*</v>
          </cell>
          <cell r="AD127" t="str">
            <v>*</v>
          </cell>
          <cell r="AE127">
            <v>1</v>
          </cell>
          <cell r="AF127">
            <v>1</v>
          </cell>
          <cell r="AG127" t="str">
            <v>*</v>
          </cell>
          <cell r="AH127" t="str">
            <v>*</v>
          </cell>
          <cell r="AI127" t="str">
            <v>*</v>
          </cell>
          <cell r="AJ127">
            <v>1</v>
          </cell>
          <cell r="AK127">
            <v>1</v>
          </cell>
          <cell r="AL127">
            <v>0</v>
          </cell>
          <cell r="AM127">
            <v>0</v>
          </cell>
          <cell r="AN127" t="str">
            <v>*</v>
          </cell>
          <cell r="AO127" t="str">
            <v>*</v>
          </cell>
          <cell r="AP127" t="str">
            <v>*</v>
          </cell>
          <cell r="AQ127" t="str">
            <v>*</v>
          </cell>
          <cell r="AR127" t="str">
            <v>*</v>
          </cell>
          <cell r="AS127" t="str">
            <v>Low N</v>
          </cell>
          <cell r="AT127" t="str">
            <v>Surgery: General</v>
          </cell>
          <cell r="AU127">
            <v>51.146110753971904</v>
          </cell>
          <cell r="AV127">
            <v>51.146110753971904</v>
          </cell>
        </row>
        <row r="128">
          <cell r="A128" t="str">
            <v>Surgery: Endovascular (Primary)</v>
          </cell>
          <cell r="B128" t="str">
            <v>*</v>
          </cell>
          <cell r="C128" t="str">
            <v>*</v>
          </cell>
          <cell r="D128" t="str">
            <v>*</v>
          </cell>
          <cell r="E128" t="str">
            <v>*</v>
          </cell>
          <cell r="F128" t="str">
            <v>*</v>
          </cell>
          <cell r="G128" t="str">
            <v>*</v>
          </cell>
          <cell r="H128" t="str">
            <v>*</v>
          </cell>
          <cell r="I128" t="str">
            <v>*</v>
          </cell>
          <cell r="J128" t="str">
            <v>*</v>
          </cell>
          <cell r="K128" t="str">
            <v>*</v>
          </cell>
          <cell r="L128" t="str">
            <v>*</v>
          </cell>
          <cell r="M128" t="str">
            <v>*</v>
          </cell>
          <cell r="N128" t="str">
            <v>*</v>
          </cell>
          <cell r="O128" t="str">
            <v>*</v>
          </cell>
          <cell r="P128" t="str">
            <v>*</v>
          </cell>
          <cell r="Q128" t="str">
            <v>*</v>
          </cell>
          <cell r="R128" t="str">
            <v>*</v>
          </cell>
          <cell r="S128" t="str">
            <v>*</v>
          </cell>
          <cell r="T128" t="e">
            <v>#N/A</v>
          </cell>
          <cell r="U128" t="str">
            <v>*</v>
          </cell>
          <cell r="V128" t="str">
            <v>*</v>
          </cell>
          <cell r="W128" t="str">
            <v>*</v>
          </cell>
          <cell r="X128" t="str">
            <v>*</v>
          </cell>
          <cell r="Y128" t="str">
            <v>*</v>
          </cell>
          <cell r="Z128" t="str">
            <v>*</v>
          </cell>
          <cell r="AA128" t="str">
            <v>*</v>
          </cell>
          <cell r="AB128" t="str">
            <v>*</v>
          </cell>
          <cell r="AC128" t="str">
            <v>*</v>
          </cell>
          <cell r="AD128" t="str">
            <v>*</v>
          </cell>
          <cell r="AE128">
            <v>1</v>
          </cell>
          <cell r="AF128" t="str">
            <v>*</v>
          </cell>
          <cell r="AG128" t="str">
            <v>*</v>
          </cell>
          <cell r="AH128" t="str">
            <v>*</v>
          </cell>
          <cell r="AI128" t="str">
            <v>*</v>
          </cell>
          <cell r="AJ128">
            <v>1</v>
          </cell>
          <cell r="AK128">
            <v>1</v>
          </cell>
          <cell r="AL128">
            <v>0</v>
          </cell>
          <cell r="AM128">
            <v>0</v>
          </cell>
          <cell r="AN128" t="str">
            <v>*</v>
          </cell>
          <cell r="AO128" t="str">
            <v>*</v>
          </cell>
          <cell r="AP128" t="str">
            <v>*</v>
          </cell>
          <cell r="AQ128" t="str">
            <v>*</v>
          </cell>
          <cell r="AR128" t="str">
            <v>*</v>
          </cell>
          <cell r="AS128" t="str">
            <v>Low N</v>
          </cell>
          <cell r="AT128" t="str">
            <v>Surgery: General</v>
          </cell>
          <cell r="AU128">
            <v>51.146110753971904</v>
          </cell>
          <cell r="AV128">
            <v>51.146110753971904</v>
          </cell>
        </row>
        <row r="129">
          <cell r="A129" t="str">
            <v>Surgery: General</v>
          </cell>
          <cell r="B129">
            <v>329196</v>
          </cell>
          <cell r="C129">
            <v>350000</v>
          </cell>
          <cell r="D129">
            <v>322918</v>
          </cell>
          <cell r="E129">
            <v>376000</v>
          </cell>
          <cell r="F129">
            <v>346611</v>
          </cell>
          <cell r="G129">
            <v>378777</v>
          </cell>
          <cell r="H129">
            <v>388472</v>
          </cell>
          <cell r="I129">
            <v>334038</v>
          </cell>
          <cell r="J129">
            <v>349639.33333333331</v>
          </cell>
          <cell r="K129">
            <v>348509.66666666669</v>
          </cell>
          <cell r="L129">
            <v>367129.33333333331</v>
          </cell>
          <cell r="M129">
            <v>371286.66666666669</v>
          </cell>
          <cell r="N129">
            <v>9019</v>
          </cell>
          <cell r="O129">
            <v>8141</v>
          </cell>
          <cell r="P129">
            <v>7438</v>
          </cell>
          <cell r="Q129">
            <v>7270</v>
          </cell>
          <cell r="R129">
            <v>6774</v>
          </cell>
          <cell r="S129">
            <v>7511</v>
          </cell>
          <cell r="T129">
            <v>7493</v>
          </cell>
          <cell r="U129">
            <v>8199.3333333333339</v>
          </cell>
          <cell r="V129">
            <v>7616.333333333333</v>
          </cell>
          <cell r="W129">
            <v>7160.666666666667</v>
          </cell>
          <cell r="X129">
            <v>7185</v>
          </cell>
          <cell r="Y129">
            <v>7259.333333333333</v>
          </cell>
          <cell r="Z129">
            <v>107</v>
          </cell>
          <cell r="AA129">
            <v>87</v>
          </cell>
          <cell r="AB129">
            <v>72</v>
          </cell>
          <cell r="AC129">
            <v>94</v>
          </cell>
          <cell r="AD129">
            <v>206</v>
          </cell>
          <cell r="AE129">
            <v>191</v>
          </cell>
          <cell r="AF129">
            <v>231</v>
          </cell>
          <cell r="AG129">
            <v>88.666666666666671</v>
          </cell>
          <cell r="AH129">
            <v>84.333333333333329</v>
          </cell>
          <cell r="AI129">
            <v>124</v>
          </cell>
          <cell r="AJ129">
            <v>163.66666666666666</v>
          </cell>
          <cell r="AK129">
            <v>209.33333333333334</v>
          </cell>
          <cell r="AL129">
            <v>4</v>
          </cell>
          <cell r="AM129">
            <v>2.0942408376963352E-2</v>
          </cell>
          <cell r="AN129">
            <v>40.739653630376452</v>
          </cell>
          <cell r="AO129">
            <v>45.906516696573156</v>
          </cell>
          <cell r="AP129">
            <v>48.670002793036033</v>
          </cell>
          <cell r="AQ129">
            <v>51.096636511250288</v>
          </cell>
          <cell r="AR129">
            <v>51.146110753971904</v>
          </cell>
          <cell r="AS129" t="str">
            <v/>
          </cell>
          <cell r="AV129">
            <v>51.146110753971904</v>
          </cell>
        </row>
        <row r="130">
          <cell r="A130" t="str">
            <v>Surgery: Neurological</v>
          </cell>
          <cell r="B130">
            <v>540781</v>
          </cell>
          <cell r="C130">
            <v>547541</v>
          </cell>
          <cell r="D130">
            <v>599992</v>
          </cell>
          <cell r="E130">
            <v>653367</v>
          </cell>
          <cell r="F130">
            <v>613628</v>
          </cell>
          <cell r="G130">
            <v>672087</v>
          </cell>
          <cell r="H130">
            <v>733856</v>
          </cell>
          <cell r="I130">
            <v>562771.33333333337</v>
          </cell>
          <cell r="J130">
            <v>600300</v>
          </cell>
          <cell r="K130">
            <v>622329</v>
          </cell>
          <cell r="L130">
            <v>646360.66666666663</v>
          </cell>
          <cell r="M130">
            <v>673190.33333333337</v>
          </cell>
          <cell r="N130">
            <v>10772</v>
          </cell>
          <cell r="O130">
            <v>10385</v>
          </cell>
          <cell r="P130">
            <v>9264</v>
          </cell>
          <cell r="Q130">
            <v>10812</v>
          </cell>
          <cell r="R130">
            <v>10680</v>
          </cell>
          <cell r="S130">
            <v>11333</v>
          </cell>
          <cell r="T130">
            <v>11184</v>
          </cell>
          <cell r="U130">
            <v>10140.333333333334</v>
          </cell>
          <cell r="V130">
            <v>10153.666666666666</v>
          </cell>
          <cell r="W130">
            <v>10252</v>
          </cell>
          <cell r="X130">
            <v>10941.666666666666</v>
          </cell>
          <cell r="Y130">
            <v>11065.666666666666</v>
          </cell>
          <cell r="Z130">
            <v>150</v>
          </cell>
          <cell r="AA130">
            <v>92</v>
          </cell>
          <cell r="AB130">
            <v>96</v>
          </cell>
          <cell r="AC130">
            <v>123</v>
          </cell>
          <cell r="AD130">
            <v>158</v>
          </cell>
          <cell r="AE130">
            <v>193</v>
          </cell>
          <cell r="AF130">
            <v>212</v>
          </cell>
          <cell r="AG130">
            <v>112.66666666666667</v>
          </cell>
          <cell r="AH130">
            <v>103.66666666666667</v>
          </cell>
          <cell r="AI130">
            <v>125.66666666666667</v>
          </cell>
          <cell r="AJ130">
            <v>158</v>
          </cell>
          <cell r="AK130">
            <v>187.66666666666666</v>
          </cell>
          <cell r="AL130">
            <v>8</v>
          </cell>
          <cell r="AM130">
            <v>4.145077720207254E-2</v>
          </cell>
          <cell r="AN130">
            <v>55.498307090496695</v>
          </cell>
          <cell r="AO130">
            <v>59.121499622468079</v>
          </cell>
          <cell r="AP130">
            <v>60.703179867342961</v>
          </cell>
          <cell r="AQ130">
            <v>59.07332825590251</v>
          </cell>
          <cell r="AR130">
            <v>60.835949031539002</v>
          </cell>
          <cell r="AS130" t="str">
            <v/>
          </cell>
          <cell r="AV130">
            <v>60.835949031539002</v>
          </cell>
        </row>
        <row r="131">
          <cell r="A131" t="str">
            <v>Surgery: Oncology</v>
          </cell>
          <cell r="B131">
            <v>332257</v>
          </cell>
          <cell r="C131">
            <v>361794</v>
          </cell>
          <cell r="D131">
            <v>360538</v>
          </cell>
          <cell r="E131">
            <v>384400</v>
          </cell>
          <cell r="F131">
            <v>374723</v>
          </cell>
          <cell r="G131">
            <v>393220</v>
          </cell>
          <cell r="H131">
            <v>382012</v>
          </cell>
          <cell r="I131">
            <v>351529.66666666669</v>
          </cell>
          <cell r="J131">
            <v>368910.66666666669</v>
          </cell>
          <cell r="K131">
            <v>373220.33333333331</v>
          </cell>
          <cell r="L131">
            <v>384114.33333333331</v>
          </cell>
          <cell r="M131">
            <v>383318.33333333331</v>
          </cell>
          <cell r="N131">
            <v>7938</v>
          </cell>
          <cell r="O131">
            <v>9658</v>
          </cell>
          <cell r="P131">
            <v>6603</v>
          </cell>
          <cell r="Q131">
            <v>7489</v>
          </cell>
          <cell r="R131">
            <v>8272</v>
          </cell>
          <cell r="S131">
            <v>7574</v>
          </cell>
          <cell r="T131">
            <v>7490</v>
          </cell>
          <cell r="U131">
            <v>8066.333333333333</v>
          </cell>
          <cell r="V131">
            <v>7916.666666666667</v>
          </cell>
          <cell r="W131">
            <v>7454.666666666667</v>
          </cell>
          <cell r="X131">
            <v>7778.333333333333</v>
          </cell>
          <cell r="Y131">
            <v>7778.666666666667</v>
          </cell>
          <cell r="Z131">
            <v>80</v>
          </cell>
          <cell r="AA131">
            <v>49</v>
          </cell>
          <cell r="AB131">
            <v>37</v>
          </cell>
          <cell r="AC131">
            <v>64</v>
          </cell>
          <cell r="AD131">
            <v>79</v>
          </cell>
          <cell r="AE131">
            <v>90</v>
          </cell>
          <cell r="AF131">
            <v>88</v>
          </cell>
          <cell r="AG131">
            <v>55.333333333333336</v>
          </cell>
          <cell r="AH131">
            <v>50</v>
          </cell>
          <cell r="AI131">
            <v>60</v>
          </cell>
          <cell r="AJ131">
            <v>77.666666666666671</v>
          </cell>
          <cell r="AK131">
            <v>85.666666666666671</v>
          </cell>
          <cell r="AL131">
            <v>11</v>
          </cell>
          <cell r="AM131">
            <v>0.12222222222222222</v>
          </cell>
          <cell r="AN131">
            <v>43.579858671845948</v>
          </cell>
          <cell r="AO131">
            <v>46.599242105263158</v>
          </cell>
          <cell r="AP131">
            <v>50.065328206045429</v>
          </cell>
          <cell r="AQ131">
            <v>49.382601242768374</v>
          </cell>
          <cell r="AR131">
            <v>49.278153925265677</v>
          </cell>
          <cell r="AS131" t="str">
            <v/>
          </cell>
          <cell r="AV131">
            <v>49.278153925265677</v>
          </cell>
        </row>
        <row r="132">
          <cell r="A132" t="str">
            <v>Surgery: Oral</v>
          </cell>
          <cell r="B132">
            <v>316267</v>
          </cell>
          <cell r="C132">
            <v>342684</v>
          </cell>
          <cell r="D132">
            <v>361267</v>
          </cell>
          <cell r="E132">
            <v>399500</v>
          </cell>
          <cell r="F132">
            <v>334594</v>
          </cell>
          <cell r="G132">
            <v>377235</v>
          </cell>
          <cell r="H132">
            <v>419156</v>
          </cell>
          <cell r="I132">
            <v>340072.66666666669</v>
          </cell>
          <cell r="J132">
            <v>367817</v>
          </cell>
          <cell r="K132">
            <v>365120.33333333331</v>
          </cell>
          <cell r="L132">
            <v>370443</v>
          </cell>
          <cell r="M132">
            <v>376995</v>
          </cell>
          <cell r="N132" t="str">
            <v>*</v>
          </cell>
          <cell r="O132" t="str">
            <v>*</v>
          </cell>
          <cell r="P132">
            <v>10326</v>
          </cell>
          <cell r="Q132">
            <v>7598</v>
          </cell>
          <cell r="R132">
            <v>5469</v>
          </cell>
          <cell r="S132">
            <v>7921</v>
          </cell>
          <cell r="T132">
            <v>6219</v>
          </cell>
          <cell r="U132">
            <v>10326</v>
          </cell>
          <cell r="V132">
            <v>8962</v>
          </cell>
          <cell r="W132">
            <v>7797.666666666667</v>
          </cell>
          <cell r="X132">
            <v>6996</v>
          </cell>
          <cell r="Y132">
            <v>6536.333333333333</v>
          </cell>
          <cell r="Z132">
            <v>7</v>
          </cell>
          <cell r="AA132">
            <v>8</v>
          </cell>
          <cell r="AB132">
            <v>10</v>
          </cell>
          <cell r="AC132">
            <v>11</v>
          </cell>
          <cell r="AD132">
            <v>16</v>
          </cell>
          <cell r="AE132">
            <v>23</v>
          </cell>
          <cell r="AF132">
            <v>14</v>
          </cell>
          <cell r="AG132">
            <v>8.3333333333333339</v>
          </cell>
          <cell r="AH132">
            <v>9.6666666666666661</v>
          </cell>
          <cell r="AI132">
            <v>12.333333333333334</v>
          </cell>
          <cell r="AJ132">
            <v>16.666666666666668</v>
          </cell>
          <cell r="AK132">
            <v>17.666666666666668</v>
          </cell>
          <cell r="AL132">
            <v>0</v>
          </cell>
          <cell r="AM132">
            <v>0</v>
          </cell>
          <cell r="AN132">
            <v>32.933630318290405</v>
          </cell>
          <cell r="AO132">
            <v>41.041843338540502</v>
          </cell>
          <cell r="AP132">
            <v>46.82430641644936</v>
          </cell>
          <cell r="AQ132">
            <v>52.950686106346481</v>
          </cell>
          <cell r="AR132">
            <v>57.676832066908055</v>
          </cell>
          <cell r="AS132" t="str">
            <v/>
          </cell>
          <cell r="AV132">
            <v>57.676832066908055</v>
          </cell>
        </row>
        <row r="133">
          <cell r="A133" t="str">
            <v>Surgery: Plastic and Reconstruction</v>
          </cell>
          <cell r="B133">
            <v>431500</v>
          </cell>
          <cell r="C133">
            <v>444072</v>
          </cell>
          <cell r="D133">
            <v>430200</v>
          </cell>
          <cell r="E133">
            <v>503918</v>
          </cell>
          <cell r="F133">
            <v>418715</v>
          </cell>
          <cell r="G133">
            <v>464124</v>
          </cell>
          <cell r="H133">
            <v>450345</v>
          </cell>
          <cell r="I133">
            <v>435257.33333333331</v>
          </cell>
          <cell r="J133">
            <v>459396.66666666669</v>
          </cell>
          <cell r="K133">
            <v>450944.33333333331</v>
          </cell>
          <cell r="L133">
            <v>462252.33333333331</v>
          </cell>
          <cell r="M133">
            <v>444394.66666666669</v>
          </cell>
          <cell r="N133">
            <v>10706</v>
          </cell>
          <cell r="O133">
            <v>8524</v>
          </cell>
          <cell r="P133">
            <v>8246</v>
          </cell>
          <cell r="Q133">
            <v>8613</v>
          </cell>
          <cell r="R133">
            <v>8519</v>
          </cell>
          <cell r="S133">
            <v>9009</v>
          </cell>
          <cell r="T133">
            <v>8271</v>
          </cell>
          <cell r="U133">
            <v>9158.6666666666661</v>
          </cell>
          <cell r="V133">
            <v>8461</v>
          </cell>
          <cell r="W133">
            <v>8459.3333333333339</v>
          </cell>
          <cell r="X133">
            <v>8713.6666666666661</v>
          </cell>
          <cell r="Y133">
            <v>8599.6666666666661</v>
          </cell>
          <cell r="Z133">
            <v>81</v>
          </cell>
          <cell r="AA133">
            <v>55</v>
          </cell>
          <cell r="AB133">
            <v>49</v>
          </cell>
          <cell r="AC133">
            <v>76</v>
          </cell>
          <cell r="AD133">
            <v>95</v>
          </cell>
          <cell r="AE133">
            <v>140</v>
          </cell>
          <cell r="AF133">
            <v>151</v>
          </cell>
          <cell r="AG133">
            <v>61.666666666666664</v>
          </cell>
          <cell r="AH133">
            <v>60</v>
          </cell>
          <cell r="AI133">
            <v>73.333333333333329</v>
          </cell>
          <cell r="AJ133">
            <v>103.66666666666667</v>
          </cell>
          <cell r="AK133">
            <v>128.66666666666666</v>
          </cell>
          <cell r="AL133">
            <v>8</v>
          </cell>
          <cell r="AM133">
            <v>5.7142857142857141E-2</v>
          </cell>
          <cell r="AN133">
            <v>47.524093754549426</v>
          </cell>
          <cell r="AO133">
            <v>54.295788519875508</v>
          </cell>
          <cell r="AP133">
            <v>53.307313421073367</v>
          </cell>
          <cell r="AQ133">
            <v>53.049118243372483</v>
          </cell>
          <cell r="AR133">
            <v>51.675801387650687</v>
          </cell>
          <cell r="AS133" t="str">
            <v/>
          </cell>
          <cell r="AV133">
            <v>51.675801387650687</v>
          </cell>
        </row>
        <row r="134">
          <cell r="A134" t="str">
            <v>Surgery: Plastic and Reconstruction-Hand</v>
          </cell>
          <cell r="B134" t="str">
            <v>*</v>
          </cell>
          <cell r="C134">
            <v>408666</v>
          </cell>
          <cell r="D134">
            <v>484309</v>
          </cell>
          <cell r="E134">
            <v>420513</v>
          </cell>
          <cell r="F134">
            <v>407711</v>
          </cell>
          <cell r="G134" t="str">
            <v>*</v>
          </cell>
          <cell r="H134" t="str">
            <v>*</v>
          </cell>
          <cell r="I134">
            <v>446487.5</v>
          </cell>
          <cell r="J134">
            <v>437829.33333333331</v>
          </cell>
          <cell r="K134">
            <v>437511</v>
          </cell>
          <cell r="L134">
            <v>414112</v>
          </cell>
          <cell r="M134">
            <v>407711</v>
          </cell>
          <cell r="N134" t="str">
            <v>*</v>
          </cell>
          <cell r="O134" t="str">
            <v>*</v>
          </cell>
          <cell r="P134">
            <v>8795</v>
          </cell>
          <cell r="Q134" t="str">
            <v>*</v>
          </cell>
          <cell r="R134">
            <v>8728</v>
          </cell>
          <cell r="S134" t="str">
            <v>*</v>
          </cell>
          <cell r="T134" t="str">
            <v>*</v>
          </cell>
          <cell r="U134">
            <v>8795</v>
          </cell>
          <cell r="V134">
            <v>8795</v>
          </cell>
          <cell r="W134">
            <v>8761.5</v>
          </cell>
          <cell r="X134">
            <v>8728</v>
          </cell>
          <cell r="Y134">
            <v>8728</v>
          </cell>
          <cell r="Z134">
            <v>1</v>
          </cell>
          <cell r="AA134">
            <v>3</v>
          </cell>
          <cell r="AB134">
            <v>10</v>
          </cell>
          <cell r="AC134">
            <v>8</v>
          </cell>
          <cell r="AD134">
            <v>11</v>
          </cell>
          <cell r="AE134">
            <v>4</v>
          </cell>
          <cell r="AF134">
            <v>8</v>
          </cell>
          <cell r="AG134">
            <v>4.666666666666667</v>
          </cell>
          <cell r="AH134">
            <v>7</v>
          </cell>
          <cell r="AI134">
            <v>9.6666666666666661</v>
          </cell>
          <cell r="AJ134">
            <v>7.666666666666667</v>
          </cell>
          <cell r="AK134">
            <v>7.666666666666667</v>
          </cell>
          <cell r="AL134">
            <v>1</v>
          </cell>
          <cell r="AM134">
            <v>0.25</v>
          </cell>
          <cell r="AN134">
            <v>50.766060261512223</v>
          </cell>
          <cell r="AO134">
            <v>49.781618343755923</v>
          </cell>
          <cell r="AP134">
            <v>49.93562746105119</v>
          </cell>
          <cell r="AQ134">
            <v>47.446379468377636</v>
          </cell>
          <cell r="AR134">
            <v>46.712992667277724</v>
          </cell>
          <cell r="AS134" t="str">
            <v>Low N</v>
          </cell>
          <cell r="AT134" t="str">
            <v>Surgery: Plastic and Reconstruction</v>
          </cell>
          <cell r="AU134">
            <v>51.675801387650687</v>
          </cell>
          <cell r="AV134">
            <v>51.675801387650687</v>
          </cell>
        </row>
        <row r="135">
          <cell r="A135" t="str">
            <v>Surgery: Thoracic (Primary)</v>
          </cell>
          <cell r="B135">
            <v>473478</v>
          </cell>
          <cell r="C135">
            <v>402094</v>
          </cell>
          <cell r="D135">
            <v>427204</v>
          </cell>
          <cell r="E135">
            <v>531016</v>
          </cell>
          <cell r="F135">
            <v>514801</v>
          </cell>
          <cell r="G135">
            <v>501547</v>
          </cell>
          <cell r="H135">
            <v>531650</v>
          </cell>
          <cell r="I135">
            <v>434258.66666666669</v>
          </cell>
          <cell r="J135">
            <v>453438</v>
          </cell>
          <cell r="K135">
            <v>491007</v>
          </cell>
          <cell r="L135">
            <v>515788</v>
          </cell>
          <cell r="M135">
            <v>515999.33333333331</v>
          </cell>
          <cell r="N135">
            <v>8795</v>
          </cell>
          <cell r="O135">
            <v>6780</v>
          </cell>
          <cell r="P135">
            <v>9687</v>
          </cell>
          <cell r="Q135">
            <v>9670</v>
          </cell>
          <cell r="R135">
            <v>9472</v>
          </cell>
          <cell r="S135">
            <v>8371</v>
          </cell>
          <cell r="T135">
            <v>7756</v>
          </cell>
          <cell r="U135">
            <v>8420.6666666666661</v>
          </cell>
          <cell r="V135">
            <v>8712.3333333333339</v>
          </cell>
          <cell r="W135">
            <v>9609.6666666666661</v>
          </cell>
          <cell r="X135">
            <v>9171</v>
          </cell>
          <cell r="Y135">
            <v>8533</v>
          </cell>
          <cell r="Z135">
            <v>65</v>
          </cell>
          <cell r="AA135">
            <v>34</v>
          </cell>
          <cell r="AB135">
            <v>37</v>
          </cell>
          <cell r="AC135">
            <v>32</v>
          </cell>
          <cell r="AD135">
            <v>33</v>
          </cell>
          <cell r="AE135">
            <v>55</v>
          </cell>
          <cell r="AF135">
            <v>61</v>
          </cell>
          <cell r="AG135">
            <v>45.333333333333336</v>
          </cell>
          <cell r="AH135">
            <v>34.333333333333336</v>
          </cell>
          <cell r="AI135">
            <v>34</v>
          </cell>
          <cell r="AJ135">
            <v>40</v>
          </cell>
          <cell r="AK135">
            <v>49.666666666666664</v>
          </cell>
          <cell r="AL135">
            <v>3</v>
          </cell>
          <cell r="AM135">
            <v>5.4545454545454543E-2</v>
          </cell>
          <cell r="AN135">
            <v>51.570580318264597</v>
          </cell>
          <cell r="AO135">
            <v>52.045529326242487</v>
          </cell>
          <cell r="AP135">
            <v>51.095112560269179</v>
          </cell>
          <cell r="AQ135">
            <v>56.241195071420783</v>
          </cell>
          <cell r="AR135">
            <v>60.471034024766588</v>
          </cell>
          <cell r="AS135" t="str">
            <v/>
          </cell>
          <cell r="AV135">
            <v>60.471034024766588</v>
          </cell>
        </row>
        <row r="136">
          <cell r="A136" t="str">
            <v>Surgery: Transplant</v>
          </cell>
          <cell r="B136">
            <v>391200</v>
          </cell>
          <cell r="C136">
            <v>397925</v>
          </cell>
          <cell r="D136">
            <v>470775</v>
          </cell>
          <cell r="E136">
            <v>489785</v>
          </cell>
          <cell r="F136">
            <v>441635</v>
          </cell>
          <cell r="G136">
            <v>461737</v>
          </cell>
          <cell r="H136">
            <v>447959</v>
          </cell>
          <cell r="I136">
            <v>419966.66666666669</v>
          </cell>
          <cell r="J136">
            <v>452828.33333333331</v>
          </cell>
          <cell r="K136">
            <v>467398.33333333331</v>
          </cell>
          <cell r="L136">
            <v>464385.66666666669</v>
          </cell>
          <cell r="M136">
            <v>450443.66666666669</v>
          </cell>
          <cell r="N136">
            <v>8655</v>
          </cell>
          <cell r="O136">
            <v>6525</v>
          </cell>
          <cell r="P136">
            <v>6008</v>
          </cell>
          <cell r="Q136">
            <v>7738</v>
          </cell>
          <cell r="R136">
            <v>6898</v>
          </cell>
          <cell r="S136">
            <v>7357</v>
          </cell>
          <cell r="T136">
            <v>8175</v>
          </cell>
          <cell r="U136">
            <v>7062.666666666667</v>
          </cell>
          <cell r="V136">
            <v>6757</v>
          </cell>
          <cell r="W136">
            <v>6881.333333333333</v>
          </cell>
          <cell r="X136">
            <v>7331</v>
          </cell>
          <cell r="Y136">
            <v>7476.666666666667</v>
          </cell>
          <cell r="Z136">
            <v>36</v>
          </cell>
          <cell r="AA136">
            <v>49</v>
          </cell>
          <cell r="AB136">
            <v>39</v>
          </cell>
          <cell r="AC136">
            <v>60</v>
          </cell>
          <cell r="AD136">
            <v>77</v>
          </cell>
          <cell r="AE136">
            <v>91</v>
          </cell>
          <cell r="AF136">
            <v>98</v>
          </cell>
          <cell r="AG136">
            <v>41.333333333333336</v>
          </cell>
          <cell r="AH136">
            <v>49.333333333333336</v>
          </cell>
          <cell r="AI136">
            <v>58.666666666666664</v>
          </cell>
          <cell r="AJ136">
            <v>76</v>
          </cell>
          <cell r="AK136">
            <v>88.666666666666671</v>
          </cell>
          <cell r="AL136">
            <v>4</v>
          </cell>
          <cell r="AM136">
            <v>4.3956043956043959E-2</v>
          </cell>
          <cell r="AN136">
            <v>59.462903530300167</v>
          </cell>
          <cell r="AO136">
            <v>67.016180750826294</v>
          </cell>
          <cell r="AP136">
            <v>67.922640961054057</v>
          </cell>
          <cell r="AQ136">
            <v>63.345473559769019</v>
          </cell>
          <cell r="AR136">
            <v>60.246589389210875</v>
          </cell>
          <cell r="AS136" t="str">
            <v/>
          </cell>
          <cell r="AV136">
            <v>60.246589389210875</v>
          </cell>
        </row>
        <row r="137">
          <cell r="A137" t="str">
            <v>Surgery: Transplant-Heart</v>
          </cell>
          <cell r="B137" t="str">
            <v>*</v>
          </cell>
          <cell r="C137" t="str">
            <v>*</v>
          </cell>
          <cell r="D137" t="str">
            <v>*</v>
          </cell>
          <cell r="E137" t="str">
            <v>*</v>
          </cell>
          <cell r="F137" t="str">
            <v>*</v>
          </cell>
          <cell r="G137" t="str">
            <v>*</v>
          </cell>
          <cell r="H137" t="str">
            <v>*</v>
          </cell>
          <cell r="I137" t="str">
            <v>*</v>
          </cell>
          <cell r="J137" t="str">
            <v>*</v>
          </cell>
          <cell r="K137" t="str">
            <v>*</v>
          </cell>
          <cell r="L137" t="str">
            <v>*</v>
          </cell>
          <cell r="M137" t="str">
            <v>*</v>
          </cell>
          <cell r="N137" t="str">
            <v>*</v>
          </cell>
          <cell r="O137" t="str">
            <v>*</v>
          </cell>
          <cell r="P137" t="str">
            <v>*</v>
          </cell>
          <cell r="Q137" t="str">
            <v>*</v>
          </cell>
          <cell r="R137" t="str">
            <v>*</v>
          </cell>
          <cell r="S137" t="str">
            <v>*</v>
          </cell>
          <cell r="T137" t="str">
            <v>*</v>
          </cell>
          <cell r="U137" t="str">
            <v>*</v>
          </cell>
          <cell r="V137" t="str">
            <v>*</v>
          </cell>
          <cell r="W137" t="str">
            <v>*</v>
          </cell>
          <cell r="X137" t="str">
            <v>*</v>
          </cell>
          <cell r="Y137" t="str">
            <v>*</v>
          </cell>
          <cell r="Z137" t="str">
            <v>*</v>
          </cell>
          <cell r="AA137" t="str">
            <v>*</v>
          </cell>
          <cell r="AB137" t="str">
            <v>*</v>
          </cell>
          <cell r="AC137" t="str">
            <v>*</v>
          </cell>
          <cell r="AD137" t="str">
            <v>*</v>
          </cell>
          <cell r="AE137">
            <v>3</v>
          </cell>
          <cell r="AF137">
            <v>3</v>
          </cell>
          <cell r="AG137" t="str">
            <v>*</v>
          </cell>
          <cell r="AH137" t="str">
            <v>*</v>
          </cell>
          <cell r="AI137" t="str">
            <v>*</v>
          </cell>
          <cell r="AJ137">
            <v>3</v>
          </cell>
          <cell r="AK137">
            <v>3</v>
          </cell>
          <cell r="AL137">
            <v>0</v>
          </cell>
          <cell r="AM137">
            <v>0</v>
          </cell>
          <cell r="AN137" t="str">
            <v>*</v>
          </cell>
          <cell r="AO137" t="str">
            <v>*</v>
          </cell>
          <cell r="AP137" t="str">
            <v>*</v>
          </cell>
          <cell r="AQ137" t="str">
            <v>*</v>
          </cell>
          <cell r="AR137" t="str">
            <v>*</v>
          </cell>
          <cell r="AS137" t="str">
            <v>Low N</v>
          </cell>
          <cell r="AT137" t="str">
            <v>Surgery: Transplant</v>
          </cell>
          <cell r="AU137">
            <v>60.246589389210875</v>
          </cell>
          <cell r="AV137">
            <v>60.246589389210875</v>
          </cell>
        </row>
        <row r="138">
          <cell r="A138" t="str">
            <v>Surgery: Transplant-Kidney</v>
          </cell>
          <cell r="B138" t="str">
            <v>*</v>
          </cell>
          <cell r="C138" t="str">
            <v>*</v>
          </cell>
          <cell r="D138" t="str">
            <v>*</v>
          </cell>
          <cell r="E138" t="str">
            <v>*</v>
          </cell>
          <cell r="F138" t="str">
            <v>*</v>
          </cell>
          <cell r="G138">
            <v>393263</v>
          </cell>
          <cell r="H138">
            <v>346970</v>
          </cell>
          <cell r="I138" t="str">
            <v>*</v>
          </cell>
          <cell r="J138" t="str">
            <v>*</v>
          </cell>
          <cell r="K138" t="str">
            <v>*</v>
          </cell>
          <cell r="L138">
            <v>393263</v>
          </cell>
          <cell r="M138">
            <v>370116.5</v>
          </cell>
          <cell r="N138" t="str">
            <v>*</v>
          </cell>
          <cell r="O138" t="str">
            <v>*</v>
          </cell>
          <cell r="P138" t="str">
            <v>*</v>
          </cell>
          <cell r="Q138" t="str">
            <v>*</v>
          </cell>
          <cell r="R138" t="str">
            <v>*</v>
          </cell>
          <cell r="S138" t="str">
            <v>*</v>
          </cell>
          <cell r="T138" t="str">
            <v>*</v>
          </cell>
          <cell r="U138" t="str">
            <v>*</v>
          </cell>
          <cell r="V138" t="str">
            <v>*</v>
          </cell>
          <cell r="W138" t="str">
            <v>*</v>
          </cell>
          <cell r="X138" t="str">
            <v>*</v>
          </cell>
          <cell r="Y138" t="str">
            <v>*</v>
          </cell>
          <cell r="Z138" t="str">
            <v>*</v>
          </cell>
          <cell r="AA138" t="str">
            <v>*</v>
          </cell>
          <cell r="AB138" t="str">
            <v>*</v>
          </cell>
          <cell r="AC138" t="str">
            <v>*</v>
          </cell>
          <cell r="AD138" t="str">
            <v>*</v>
          </cell>
          <cell r="AE138">
            <v>8</v>
          </cell>
          <cell r="AF138">
            <v>8</v>
          </cell>
          <cell r="AG138" t="str">
            <v>*</v>
          </cell>
          <cell r="AH138" t="str">
            <v>*</v>
          </cell>
          <cell r="AI138" t="str">
            <v>*</v>
          </cell>
          <cell r="AJ138">
            <v>8</v>
          </cell>
          <cell r="AK138">
            <v>8</v>
          </cell>
          <cell r="AL138">
            <v>0</v>
          </cell>
          <cell r="AM138">
            <v>0</v>
          </cell>
          <cell r="AN138" t="str">
            <v>*</v>
          </cell>
          <cell r="AO138" t="str">
            <v>*</v>
          </cell>
          <cell r="AP138" t="str">
            <v>*</v>
          </cell>
          <cell r="AQ138" t="str">
            <v>*</v>
          </cell>
          <cell r="AR138" t="str">
            <v>*</v>
          </cell>
          <cell r="AS138" t="str">
            <v>Low N</v>
          </cell>
          <cell r="AT138" t="str">
            <v>Surgery: Transplant</v>
          </cell>
          <cell r="AU138">
            <v>60.246589389210875</v>
          </cell>
          <cell r="AV138">
            <v>60.246589389210875</v>
          </cell>
        </row>
        <row r="139">
          <cell r="A139" t="str">
            <v>Surgery: Transplant-Liver</v>
          </cell>
          <cell r="B139">
            <v>329833</v>
          </cell>
          <cell r="C139" t="str">
            <v>*</v>
          </cell>
          <cell r="D139">
            <v>400060</v>
          </cell>
          <cell r="E139" t="str">
            <v>*</v>
          </cell>
          <cell r="F139">
            <v>445601</v>
          </cell>
          <cell r="G139" t="str">
            <v>*</v>
          </cell>
          <cell r="H139" t="str">
            <v>*</v>
          </cell>
          <cell r="I139">
            <v>364946.5</v>
          </cell>
          <cell r="J139">
            <v>400060</v>
          </cell>
          <cell r="K139">
            <v>422830.5</v>
          </cell>
          <cell r="L139">
            <v>445601</v>
          </cell>
          <cell r="M139">
            <v>445601</v>
          </cell>
          <cell r="N139" t="str">
            <v>*</v>
          </cell>
          <cell r="O139" t="str">
            <v>*</v>
          </cell>
          <cell r="P139" t="str">
            <v>*</v>
          </cell>
          <cell r="Q139" t="str">
            <v>*</v>
          </cell>
          <cell r="R139">
            <v>8537</v>
          </cell>
          <cell r="S139" t="str">
            <v>*</v>
          </cell>
          <cell r="T139" t="str">
            <v>*</v>
          </cell>
          <cell r="U139" t="str">
            <v>*</v>
          </cell>
          <cell r="V139" t="str">
            <v>*</v>
          </cell>
          <cell r="W139">
            <v>8537</v>
          </cell>
          <cell r="X139">
            <v>8537</v>
          </cell>
          <cell r="Y139">
            <v>8537</v>
          </cell>
          <cell r="Z139">
            <v>5</v>
          </cell>
          <cell r="AA139">
            <v>3</v>
          </cell>
          <cell r="AB139">
            <v>6</v>
          </cell>
          <cell r="AC139">
            <v>3</v>
          </cell>
          <cell r="AD139">
            <v>11</v>
          </cell>
          <cell r="AE139">
            <v>8</v>
          </cell>
          <cell r="AF139">
            <v>6</v>
          </cell>
          <cell r="AG139">
            <v>4.666666666666667</v>
          </cell>
          <cell r="AH139">
            <v>4</v>
          </cell>
          <cell r="AI139">
            <v>6.666666666666667</v>
          </cell>
          <cell r="AJ139">
            <v>7.333333333333333</v>
          </cell>
          <cell r="AK139">
            <v>8.3333333333333339</v>
          </cell>
          <cell r="AL139">
            <v>0</v>
          </cell>
          <cell r="AM139">
            <v>0</v>
          </cell>
          <cell r="AN139" t="str">
            <v>*</v>
          </cell>
          <cell r="AO139" t="str">
            <v>*</v>
          </cell>
          <cell r="AP139">
            <v>49.529167154738197</v>
          </cell>
          <cell r="AQ139">
            <v>52.196439030104251</v>
          </cell>
          <cell r="AR139">
            <v>52.196439030104251</v>
          </cell>
          <cell r="AS139" t="str">
            <v>Low N</v>
          </cell>
          <cell r="AT139" t="str">
            <v>Surgery: General</v>
          </cell>
          <cell r="AU139">
            <v>51.146110753971904</v>
          </cell>
          <cell r="AV139">
            <v>51.146110753971904</v>
          </cell>
        </row>
        <row r="140">
          <cell r="A140" t="str">
            <v>Surgery: Trauma</v>
          </cell>
          <cell r="B140">
            <v>379174</v>
          </cell>
          <cell r="C140">
            <v>368834</v>
          </cell>
          <cell r="D140">
            <v>394485</v>
          </cell>
          <cell r="E140">
            <v>420081</v>
          </cell>
          <cell r="F140">
            <v>403786</v>
          </cell>
          <cell r="G140">
            <v>442917</v>
          </cell>
          <cell r="H140">
            <v>445150</v>
          </cell>
          <cell r="I140">
            <v>380831</v>
          </cell>
          <cell r="J140">
            <v>394466.66666666669</v>
          </cell>
          <cell r="K140">
            <v>406117.33333333331</v>
          </cell>
          <cell r="L140">
            <v>422261.33333333331</v>
          </cell>
          <cell r="M140">
            <v>430617.66666666669</v>
          </cell>
          <cell r="N140">
            <v>8479</v>
          </cell>
          <cell r="O140">
            <v>8980</v>
          </cell>
          <cell r="P140">
            <v>9678</v>
          </cell>
          <cell r="Q140">
            <v>8581</v>
          </cell>
          <cell r="R140">
            <v>8803</v>
          </cell>
          <cell r="S140">
            <v>9680</v>
          </cell>
          <cell r="T140">
            <v>8956</v>
          </cell>
          <cell r="U140">
            <v>9045.6666666666661</v>
          </cell>
          <cell r="V140">
            <v>9079.6666666666661</v>
          </cell>
          <cell r="W140">
            <v>9020.6666666666661</v>
          </cell>
          <cell r="X140">
            <v>9021.3333333333339</v>
          </cell>
          <cell r="Y140">
            <v>9146.3333333333339</v>
          </cell>
          <cell r="Z140">
            <v>83</v>
          </cell>
          <cell r="AA140">
            <v>57</v>
          </cell>
          <cell r="AB140">
            <v>50</v>
          </cell>
          <cell r="AC140">
            <v>86</v>
          </cell>
          <cell r="AD140">
            <v>107</v>
          </cell>
          <cell r="AE140">
            <v>124</v>
          </cell>
          <cell r="AF140">
            <v>136</v>
          </cell>
          <cell r="AG140">
            <v>63.333333333333336</v>
          </cell>
          <cell r="AH140">
            <v>64.333333333333329</v>
          </cell>
          <cell r="AI140">
            <v>81</v>
          </cell>
          <cell r="AJ140">
            <v>105.66666666666667</v>
          </cell>
          <cell r="AK140">
            <v>122.33333333333333</v>
          </cell>
          <cell r="AL140">
            <v>9</v>
          </cell>
          <cell r="AM140">
            <v>7.2580645161290328E-2</v>
          </cell>
          <cell r="AN140">
            <v>42.100932306445081</v>
          </cell>
          <cell r="AO140">
            <v>43.445060391350644</v>
          </cell>
          <cell r="AP140">
            <v>45.02076712733723</v>
          </cell>
          <cell r="AQ140">
            <v>46.806976056754358</v>
          </cell>
          <cell r="AR140">
            <v>47.080906738583764</v>
          </cell>
          <cell r="AS140" t="str">
            <v/>
          </cell>
          <cell r="AV140">
            <v>47.080906738583764</v>
          </cell>
        </row>
        <row r="141">
          <cell r="A141" t="str">
            <v>Surgery: Trauma-Burn</v>
          </cell>
          <cell r="B141">
            <v>383355</v>
          </cell>
          <cell r="C141">
            <v>345000</v>
          </cell>
          <cell r="D141">
            <v>336362</v>
          </cell>
          <cell r="E141">
            <v>375000</v>
          </cell>
          <cell r="F141">
            <v>373990</v>
          </cell>
          <cell r="G141">
            <v>394454</v>
          </cell>
          <cell r="H141">
            <v>422263</v>
          </cell>
          <cell r="I141">
            <v>354905.66666666669</v>
          </cell>
          <cell r="J141">
            <v>352120.66666666669</v>
          </cell>
          <cell r="K141">
            <v>361784</v>
          </cell>
          <cell r="L141">
            <v>381148</v>
          </cell>
          <cell r="M141">
            <v>396902.33333333331</v>
          </cell>
          <cell r="N141" t="str">
            <v>*</v>
          </cell>
          <cell r="O141" t="str">
            <v>*</v>
          </cell>
          <cell r="P141">
            <v>8364</v>
          </cell>
          <cell r="Q141">
            <v>7714</v>
          </cell>
          <cell r="R141">
            <v>6761</v>
          </cell>
          <cell r="S141">
            <v>7779</v>
          </cell>
          <cell r="T141">
            <v>5828</v>
          </cell>
          <cell r="U141">
            <v>8364</v>
          </cell>
          <cell r="V141">
            <v>8039</v>
          </cell>
          <cell r="W141">
            <v>7613</v>
          </cell>
          <cell r="X141">
            <v>7418</v>
          </cell>
          <cell r="Y141">
            <v>6789.333333333333</v>
          </cell>
          <cell r="Z141">
            <v>9</v>
          </cell>
          <cell r="AA141">
            <v>9</v>
          </cell>
          <cell r="AB141">
            <v>10</v>
          </cell>
          <cell r="AC141">
            <v>16</v>
          </cell>
          <cell r="AD141">
            <v>17</v>
          </cell>
          <cell r="AE141">
            <v>23</v>
          </cell>
          <cell r="AF141">
            <v>21</v>
          </cell>
          <cell r="AG141">
            <v>9.3333333333333339</v>
          </cell>
          <cell r="AH141">
            <v>11.666666666666666</v>
          </cell>
          <cell r="AI141">
            <v>14.333333333333334</v>
          </cell>
          <cell r="AJ141">
            <v>18.666666666666668</v>
          </cell>
          <cell r="AK141">
            <v>20.333333333333332</v>
          </cell>
          <cell r="AL141">
            <v>4</v>
          </cell>
          <cell r="AM141">
            <v>0.17391304347826086</v>
          </cell>
          <cell r="AN141">
            <v>42.432528295871194</v>
          </cell>
          <cell r="AO141">
            <v>43.80155077331343</v>
          </cell>
          <cell r="AP141">
            <v>47.521870484697232</v>
          </cell>
          <cell r="AQ141">
            <v>51.381504448638445</v>
          </cell>
          <cell r="AR141">
            <v>58.45969167321288</v>
          </cell>
          <cell r="AS141" t="str">
            <v/>
          </cell>
          <cell r="AV141">
            <v>58.45969167321288</v>
          </cell>
        </row>
        <row r="142">
          <cell r="A142" t="str">
            <v>Surgery: Vascular (Primary)</v>
          </cell>
          <cell r="B142">
            <v>372455</v>
          </cell>
          <cell r="C142">
            <v>398040</v>
          </cell>
          <cell r="D142">
            <v>386100</v>
          </cell>
          <cell r="E142">
            <v>431134</v>
          </cell>
          <cell r="F142">
            <v>432149</v>
          </cell>
          <cell r="G142">
            <v>439322</v>
          </cell>
          <cell r="H142">
            <v>438198</v>
          </cell>
          <cell r="I142">
            <v>385531.66666666669</v>
          </cell>
          <cell r="J142">
            <v>405091.33333333331</v>
          </cell>
          <cell r="K142">
            <v>416461</v>
          </cell>
          <cell r="L142">
            <v>434201.66666666669</v>
          </cell>
          <cell r="M142">
            <v>436556.33333333331</v>
          </cell>
          <cell r="N142">
            <v>10484</v>
          </cell>
          <cell r="O142">
            <v>10161</v>
          </cell>
          <cell r="P142">
            <v>8708</v>
          </cell>
          <cell r="Q142">
            <v>8598</v>
          </cell>
          <cell r="R142">
            <v>9304</v>
          </cell>
          <cell r="S142">
            <v>9565</v>
          </cell>
          <cell r="T142">
            <v>7490</v>
          </cell>
          <cell r="U142">
            <v>9784.3333333333339</v>
          </cell>
          <cell r="V142">
            <v>9155.6666666666661</v>
          </cell>
          <cell r="W142">
            <v>8870</v>
          </cell>
          <cell r="X142">
            <v>9155.6666666666661</v>
          </cell>
          <cell r="Y142">
            <v>8786.3333333333339</v>
          </cell>
          <cell r="Z142">
            <v>50</v>
          </cell>
          <cell r="AA142">
            <v>40</v>
          </cell>
          <cell r="AB142">
            <v>37</v>
          </cell>
          <cell r="AC142">
            <v>66</v>
          </cell>
          <cell r="AD142">
            <v>88</v>
          </cell>
          <cell r="AE142">
            <v>126</v>
          </cell>
          <cell r="AF142">
            <v>112</v>
          </cell>
          <cell r="AG142">
            <v>42.333333333333336</v>
          </cell>
          <cell r="AH142">
            <v>47.666666666666664</v>
          </cell>
          <cell r="AI142">
            <v>63.666666666666664</v>
          </cell>
          <cell r="AJ142">
            <v>93.333333333333329</v>
          </cell>
          <cell r="AK142">
            <v>108.66666666666667</v>
          </cell>
          <cell r="AL142">
            <v>7</v>
          </cell>
          <cell r="AM142">
            <v>5.5555555555555552E-2</v>
          </cell>
          <cell r="AN142">
            <v>39.402957108302388</v>
          </cell>
          <cell r="AO142">
            <v>44.244875668984598</v>
          </cell>
          <cell r="AP142">
            <v>46.951634723788047</v>
          </cell>
          <cell r="AQ142">
            <v>47.424363781992945</v>
          </cell>
          <cell r="AR142">
            <v>49.685837854243324</v>
          </cell>
          <cell r="AS142" t="str">
            <v/>
          </cell>
          <cell r="AV142">
            <v>49.685837854243324</v>
          </cell>
        </row>
        <row r="143">
          <cell r="A143" t="str">
            <v>Urgent Care</v>
          </cell>
          <cell r="B143" t="str">
            <v>*</v>
          </cell>
          <cell r="C143" t="str">
            <v>*</v>
          </cell>
          <cell r="D143" t="str">
            <v>*</v>
          </cell>
          <cell r="E143" t="str">
            <v>*</v>
          </cell>
          <cell r="F143" t="str">
            <v>*</v>
          </cell>
          <cell r="G143">
            <v>222220</v>
          </cell>
          <cell r="H143">
            <v>249848</v>
          </cell>
          <cell r="I143" t="str">
            <v>*</v>
          </cell>
          <cell r="J143" t="str">
            <v>*</v>
          </cell>
          <cell r="K143">
            <v>215252</v>
          </cell>
          <cell r="L143">
            <v>222220</v>
          </cell>
          <cell r="M143">
            <v>236034</v>
          </cell>
          <cell r="N143" t="str">
            <v>*</v>
          </cell>
          <cell r="O143" t="str">
            <v>*</v>
          </cell>
          <cell r="P143" t="str">
            <v>*</v>
          </cell>
          <cell r="Q143" t="str">
            <v>*</v>
          </cell>
          <cell r="R143">
            <v>5484</v>
          </cell>
          <cell r="S143">
            <v>4677</v>
          </cell>
          <cell r="T143">
            <v>3625</v>
          </cell>
          <cell r="U143" t="str">
            <v>*</v>
          </cell>
          <cell r="V143" t="str">
            <v>*</v>
          </cell>
          <cell r="W143">
            <v>5484</v>
          </cell>
          <cell r="X143">
            <v>5080.5</v>
          </cell>
          <cell r="Y143">
            <v>4595.333333333333</v>
          </cell>
          <cell r="Z143" t="str">
            <v>*</v>
          </cell>
          <cell r="AA143" t="str">
            <v>*</v>
          </cell>
          <cell r="AB143" t="str">
            <v>*</v>
          </cell>
          <cell r="AC143" t="str">
            <v>*</v>
          </cell>
          <cell r="AD143">
            <v>19</v>
          </cell>
          <cell r="AE143">
            <v>30</v>
          </cell>
          <cell r="AF143">
            <v>16</v>
          </cell>
          <cell r="AG143" t="str">
            <v>*</v>
          </cell>
          <cell r="AH143" t="str">
            <v>*</v>
          </cell>
          <cell r="AI143" t="str">
            <v>*</v>
          </cell>
          <cell r="AJ143">
            <v>24.5</v>
          </cell>
          <cell r="AK143">
            <v>21.666666666666668</v>
          </cell>
          <cell r="AL143">
            <v>0</v>
          </cell>
          <cell r="AM143">
            <v>0</v>
          </cell>
          <cell r="AN143" t="str">
            <v>*</v>
          </cell>
          <cell r="AO143" t="str">
            <v>*</v>
          </cell>
          <cell r="AP143">
            <v>39.250911743253099</v>
          </cell>
          <cell r="AQ143">
            <v>43.739789390807992</v>
          </cell>
          <cell r="AR143">
            <v>51.363847381401428</v>
          </cell>
          <cell r="AS143" t="str">
            <v/>
          </cell>
          <cell r="AV143">
            <v>51.363847381401428</v>
          </cell>
        </row>
        <row r="144">
          <cell r="A144" t="str">
            <v>Urology</v>
          </cell>
          <cell r="B144">
            <v>350000</v>
          </cell>
          <cell r="C144">
            <v>370816</v>
          </cell>
          <cell r="D144">
            <v>379763</v>
          </cell>
          <cell r="E144">
            <v>407488</v>
          </cell>
          <cell r="F144">
            <v>388845</v>
          </cell>
          <cell r="G144">
            <v>391529</v>
          </cell>
          <cell r="H144">
            <v>400005</v>
          </cell>
          <cell r="I144">
            <v>366859.66666666669</v>
          </cell>
          <cell r="J144">
            <v>386022.33333333331</v>
          </cell>
          <cell r="K144">
            <v>392032</v>
          </cell>
          <cell r="L144">
            <v>395954</v>
          </cell>
          <cell r="M144">
            <v>393459.66666666669</v>
          </cell>
          <cell r="N144">
            <v>8324</v>
          </cell>
          <cell r="O144">
            <v>8640</v>
          </cell>
          <cell r="P144">
            <v>9208</v>
          </cell>
          <cell r="Q144">
            <v>9044</v>
          </cell>
          <cell r="R144">
            <v>8261</v>
          </cell>
          <cell r="S144">
            <v>8955</v>
          </cell>
          <cell r="T144">
            <v>7627</v>
          </cell>
          <cell r="U144">
            <v>8724</v>
          </cell>
          <cell r="V144">
            <v>8964</v>
          </cell>
          <cell r="W144">
            <v>8837.6666666666661</v>
          </cell>
          <cell r="X144">
            <v>8753.3333333333339</v>
          </cell>
          <cell r="Y144">
            <v>8281</v>
          </cell>
          <cell r="Z144">
            <v>111</v>
          </cell>
          <cell r="AA144">
            <v>105</v>
          </cell>
          <cell r="AB144">
            <v>97</v>
          </cell>
          <cell r="AC144">
            <v>125</v>
          </cell>
          <cell r="AD144">
            <v>183</v>
          </cell>
          <cell r="AE144">
            <v>222</v>
          </cell>
          <cell r="AF144">
            <v>245</v>
          </cell>
          <cell r="AG144">
            <v>104.33333333333333</v>
          </cell>
          <cell r="AH144">
            <v>109</v>
          </cell>
          <cell r="AI144">
            <v>135</v>
          </cell>
          <cell r="AJ144">
            <v>176.66666666666666</v>
          </cell>
          <cell r="AK144">
            <v>216.66666666666666</v>
          </cell>
          <cell r="AL144">
            <v>11</v>
          </cell>
          <cell r="AM144">
            <v>4.954954954954955E-2</v>
          </cell>
          <cell r="AN144">
            <v>42.051772887054867</v>
          </cell>
          <cell r="AO144">
            <v>43.063624869849768</v>
          </cell>
          <cell r="AP144">
            <v>44.359220005280434</v>
          </cell>
          <cell r="AQ144">
            <v>45.234653465346533</v>
          </cell>
          <cell r="AR144">
            <v>47.513545062995618</v>
          </cell>
          <cell r="AS144" t="str">
            <v/>
          </cell>
          <cell r="AV144">
            <v>47.513545062995618</v>
          </cell>
        </row>
        <row r="145">
          <cell r="A145" t="str">
            <v>Anesthesiology</v>
          </cell>
          <cell r="AL145">
            <v>60</v>
          </cell>
          <cell r="AM145">
            <v>0</v>
          </cell>
          <cell r="AR145">
            <v>64.88</v>
          </cell>
          <cell r="AV145">
            <v>64.88</v>
          </cell>
        </row>
        <row r="146">
          <cell r="A146" t="str">
            <v>Pediatrics: Anesthesiology</v>
          </cell>
          <cell r="AL146">
            <v>14</v>
          </cell>
          <cell r="AM146">
            <v>0</v>
          </cell>
          <cell r="AR146">
            <v>64.88</v>
          </cell>
          <cell r="AV146">
            <v>64.88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MA 3 Year AVG wRVU"/>
      <sheetName val="2014"/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/>
      <sheetData sheetId="4">
        <row r="1">
          <cell r="B1" t="str">
            <v>MGMA Specialty</v>
          </cell>
          <cell r="C1" t="str">
            <v>Group Count</v>
          </cell>
          <cell r="D1" t="str">
            <v>Provider Count</v>
          </cell>
          <cell r="E1" t="str">
            <v>MGMA wRVU Mean</v>
          </cell>
          <cell r="F1" t="str">
            <v>MGMA wRVU Std Dev</v>
          </cell>
          <cell r="G1" t="str">
            <v>MGMA wRVU 10th %tile</v>
          </cell>
          <cell r="H1" t="str">
            <v>MGMA wRVU 25th %tile</v>
          </cell>
          <cell r="I1" t="str">
            <v>MGMA wRVU Median</v>
          </cell>
        </row>
        <row r="2">
          <cell r="B2" t="str">
            <v>Allergy/Immunology</v>
          </cell>
          <cell r="C2">
            <v>9</v>
          </cell>
          <cell r="D2">
            <v>13</v>
          </cell>
          <cell r="E2">
            <v>3262</v>
          </cell>
          <cell r="F2">
            <v>1247</v>
          </cell>
          <cell r="G2">
            <v>1342</v>
          </cell>
          <cell r="H2">
            <v>2303</v>
          </cell>
          <cell r="I2">
            <v>3362</v>
          </cell>
        </row>
        <row r="3">
          <cell r="B3" t="str">
            <v>Anesthesiology: Pain Management</v>
          </cell>
          <cell r="C3">
            <v>14</v>
          </cell>
          <cell r="D3">
            <v>33</v>
          </cell>
          <cell r="E3">
            <v>5120</v>
          </cell>
          <cell r="F3">
            <v>3075</v>
          </cell>
          <cell r="G3">
            <v>1933</v>
          </cell>
          <cell r="H3">
            <v>3000</v>
          </cell>
          <cell r="I3">
            <v>4502</v>
          </cell>
        </row>
        <row r="4">
          <cell r="B4" t="str">
            <v>Cardiology: Electrophysiology</v>
          </cell>
          <cell r="C4">
            <v>7</v>
          </cell>
          <cell r="D4">
            <v>25</v>
          </cell>
          <cell r="E4">
            <v>10680</v>
          </cell>
          <cell r="F4">
            <v>4378</v>
          </cell>
          <cell r="G4">
            <v>6104</v>
          </cell>
          <cell r="H4">
            <v>8624</v>
          </cell>
          <cell r="I4">
            <v>9587</v>
          </cell>
        </row>
        <row r="5">
          <cell r="B5" t="str">
            <v>Cardiology: Invasive</v>
          </cell>
          <cell r="C5">
            <v>10</v>
          </cell>
          <cell r="D5">
            <v>52</v>
          </cell>
          <cell r="E5">
            <v>9209</v>
          </cell>
          <cell r="F5">
            <v>4034</v>
          </cell>
          <cell r="G5">
            <v>4678</v>
          </cell>
          <cell r="H5">
            <v>5747</v>
          </cell>
          <cell r="I5">
            <v>8642</v>
          </cell>
        </row>
        <row r="6">
          <cell r="B6" t="str">
            <v>Cardiology: Invasive-Interventional</v>
          </cell>
          <cell r="C6">
            <v>15</v>
          </cell>
          <cell r="D6">
            <v>53</v>
          </cell>
          <cell r="E6">
            <v>9113</v>
          </cell>
          <cell r="F6">
            <v>2857</v>
          </cell>
          <cell r="G6">
            <v>5395</v>
          </cell>
          <cell r="H6">
            <v>6811</v>
          </cell>
          <cell r="I6">
            <v>9029</v>
          </cell>
        </row>
        <row r="7">
          <cell r="B7" t="str">
            <v>Cardiology: Noninvasive</v>
          </cell>
          <cell r="C7">
            <v>15</v>
          </cell>
          <cell r="D7">
            <v>127</v>
          </cell>
          <cell r="E7">
            <v>7039</v>
          </cell>
          <cell r="F7">
            <v>3036</v>
          </cell>
          <cell r="G7">
            <v>3340</v>
          </cell>
          <cell r="H7">
            <v>4927</v>
          </cell>
          <cell r="I7">
            <v>6469</v>
          </cell>
        </row>
        <row r="8">
          <cell r="B8" t="str">
            <v>Critical Care: Intensivist</v>
          </cell>
          <cell r="C8">
            <v>5</v>
          </cell>
          <cell r="D8">
            <v>12</v>
          </cell>
          <cell r="E8">
            <v>5600</v>
          </cell>
          <cell r="F8">
            <v>1670</v>
          </cell>
          <cell r="G8">
            <v>3538</v>
          </cell>
          <cell r="H8">
            <v>4157</v>
          </cell>
          <cell r="I8">
            <v>5369</v>
          </cell>
        </row>
        <row r="9">
          <cell r="B9" t="str">
            <v>Dentistry</v>
          </cell>
          <cell r="C9">
            <v>1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B10" t="str">
            <v>Dermatology</v>
          </cell>
          <cell r="C10">
            <v>14</v>
          </cell>
          <cell r="D10">
            <v>60</v>
          </cell>
          <cell r="E10">
            <v>8024</v>
          </cell>
          <cell r="F10">
            <v>4383</v>
          </cell>
          <cell r="G10">
            <v>3603</v>
          </cell>
          <cell r="H10">
            <v>4649</v>
          </cell>
          <cell r="I10">
            <v>6588</v>
          </cell>
        </row>
        <row r="11">
          <cell r="B11" t="str">
            <v>Dermatology: Dermatopathology</v>
          </cell>
          <cell r="C11">
            <v>5</v>
          </cell>
          <cell r="D11">
            <v>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Dermatology: Mohs Surgery</v>
          </cell>
          <cell r="C12">
            <v>6</v>
          </cell>
          <cell r="D12">
            <v>12</v>
          </cell>
          <cell r="E12">
            <v>21835</v>
          </cell>
          <cell r="F12">
            <v>6815</v>
          </cell>
          <cell r="G12">
            <v>11085</v>
          </cell>
          <cell r="H12">
            <v>16708</v>
          </cell>
          <cell r="I12">
            <v>21157</v>
          </cell>
        </row>
        <row r="13">
          <cell r="B13" t="str">
            <v>Emergency Medicine</v>
          </cell>
          <cell r="C13">
            <v>12</v>
          </cell>
          <cell r="D13">
            <v>275</v>
          </cell>
          <cell r="E13">
            <v>8730</v>
          </cell>
          <cell r="F13">
            <v>3876</v>
          </cell>
          <cell r="G13">
            <v>3813</v>
          </cell>
          <cell r="H13">
            <v>6092</v>
          </cell>
          <cell r="I13">
            <v>8382</v>
          </cell>
        </row>
        <row r="14">
          <cell r="B14" t="str">
            <v>Endocrinology/Metabolism</v>
          </cell>
          <cell r="C14">
            <v>17</v>
          </cell>
          <cell r="D14">
            <v>51</v>
          </cell>
          <cell r="E14">
            <v>4441</v>
          </cell>
          <cell r="F14">
            <v>1781</v>
          </cell>
          <cell r="G14">
            <v>2313</v>
          </cell>
          <cell r="H14">
            <v>3190</v>
          </cell>
          <cell r="I14">
            <v>4103</v>
          </cell>
        </row>
        <row r="15">
          <cell r="B15" t="str">
            <v>Family Medicine (with OB)</v>
          </cell>
          <cell r="C15">
            <v>14</v>
          </cell>
          <cell r="D15">
            <v>71</v>
          </cell>
          <cell r="E15">
            <v>5276</v>
          </cell>
          <cell r="F15">
            <v>1945</v>
          </cell>
          <cell r="G15">
            <v>2390</v>
          </cell>
          <cell r="H15">
            <v>3886</v>
          </cell>
          <cell r="I15">
            <v>5343</v>
          </cell>
        </row>
        <row r="16">
          <cell r="B16" t="str">
            <v>Family Medicine (without OB)</v>
          </cell>
          <cell r="C16">
            <v>25</v>
          </cell>
          <cell r="D16">
            <v>152</v>
          </cell>
          <cell r="E16">
            <v>4521</v>
          </cell>
          <cell r="F16">
            <v>1755</v>
          </cell>
          <cell r="G16">
            <v>1845</v>
          </cell>
          <cell r="H16">
            <v>3466</v>
          </cell>
          <cell r="I16">
            <v>4770</v>
          </cell>
        </row>
        <row r="17">
          <cell r="B17" t="str">
            <v>Family Medicine: Ambulatory Only (No Inpatient Work)</v>
          </cell>
          <cell r="C17">
            <v>5</v>
          </cell>
          <cell r="D17">
            <v>9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 t="str">
            <v>Family Medicine: Sports Medicine</v>
          </cell>
          <cell r="C18">
            <v>11</v>
          </cell>
          <cell r="D18">
            <v>14</v>
          </cell>
          <cell r="E18">
            <v>5398</v>
          </cell>
          <cell r="F18">
            <v>1768</v>
          </cell>
          <cell r="G18">
            <v>2960</v>
          </cell>
          <cell r="H18">
            <v>3863</v>
          </cell>
          <cell r="I18">
            <v>5543</v>
          </cell>
        </row>
        <row r="19">
          <cell r="B19" t="str">
            <v>Gastroenterology</v>
          </cell>
          <cell r="C19">
            <v>22</v>
          </cell>
          <cell r="D19">
            <v>120</v>
          </cell>
          <cell r="E19">
            <v>8525</v>
          </cell>
          <cell r="F19">
            <v>4476</v>
          </cell>
          <cell r="G19">
            <v>3807</v>
          </cell>
          <cell r="H19">
            <v>5577</v>
          </cell>
          <cell r="I19">
            <v>7920</v>
          </cell>
        </row>
        <row r="20">
          <cell r="B20" t="str">
            <v>Gastroenterology: Hepatology</v>
          </cell>
          <cell r="C20">
            <v>6</v>
          </cell>
          <cell r="D20">
            <v>13</v>
          </cell>
          <cell r="E20">
            <v>5908</v>
          </cell>
          <cell r="F20">
            <v>1884</v>
          </cell>
          <cell r="G20">
            <v>3568</v>
          </cell>
          <cell r="H20">
            <v>4414</v>
          </cell>
          <cell r="I20">
            <v>5433</v>
          </cell>
        </row>
        <row r="21">
          <cell r="B21" t="str">
            <v>Genetics</v>
          </cell>
          <cell r="C21">
            <v>3</v>
          </cell>
          <cell r="D21">
            <v>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 t="str">
            <v>Geriatrics</v>
          </cell>
          <cell r="C22">
            <v>14</v>
          </cell>
          <cell r="D22">
            <v>35</v>
          </cell>
          <cell r="E22">
            <v>4390</v>
          </cell>
          <cell r="F22">
            <v>1801</v>
          </cell>
          <cell r="G22">
            <v>1564</v>
          </cell>
          <cell r="H22">
            <v>3387</v>
          </cell>
          <cell r="I22">
            <v>4584</v>
          </cell>
        </row>
        <row r="23">
          <cell r="B23" t="str">
            <v>Hematology/Oncology</v>
          </cell>
          <cell r="C23">
            <v>16</v>
          </cell>
          <cell r="D23">
            <v>140</v>
          </cell>
          <cell r="E23">
            <v>5852</v>
          </cell>
          <cell r="F23">
            <v>2420</v>
          </cell>
          <cell r="G23">
            <v>2379</v>
          </cell>
          <cell r="H23">
            <v>4206</v>
          </cell>
          <cell r="I23">
            <v>5771</v>
          </cell>
        </row>
        <row r="24">
          <cell r="B24" t="str">
            <v>Hematology/Oncology: Oncology (Only)</v>
          </cell>
          <cell r="C24">
            <v>8</v>
          </cell>
          <cell r="D24">
            <v>37</v>
          </cell>
          <cell r="E24">
            <v>5621</v>
          </cell>
          <cell r="F24">
            <v>2439</v>
          </cell>
          <cell r="G24">
            <v>3145</v>
          </cell>
          <cell r="H24">
            <v>4069</v>
          </cell>
          <cell r="I24">
            <v>5188</v>
          </cell>
        </row>
        <row r="25">
          <cell r="B25" t="str">
            <v>Hospice/Palliative Care</v>
          </cell>
          <cell r="C25">
            <v>5</v>
          </cell>
          <cell r="D25">
            <v>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B26" t="str">
            <v>Hospitalist: Family Medicine</v>
          </cell>
          <cell r="C26">
            <v>5</v>
          </cell>
          <cell r="D26">
            <v>9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 t="str">
            <v>Hospitalist: Internal Medicine</v>
          </cell>
          <cell r="C27">
            <v>18</v>
          </cell>
          <cell r="D27">
            <v>178</v>
          </cell>
          <cell r="E27">
            <v>3976</v>
          </cell>
          <cell r="F27">
            <v>1420</v>
          </cell>
          <cell r="G27">
            <v>2267</v>
          </cell>
          <cell r="H27">
            <v>3119</v>
          </cell>
          <cell r="I27">
            <v>3755</v>
          </cell>
        </row>
        <row r="28">
          <cell r="B28" t="str">
            <v>Infectious Disease</v>
          </cell>
          <cell r="C28">
            <v>18</v>
          </cell>
          <cell r="D28">
            <v>79</v>
          </cell>
          <cell r="E28">
            <v>4137</v>
          </cell>
          <cell r="F28">
            <v>2302</v>
          </cell>
          <cell r="G28">
            <v>1582</v>
          </cell>
          <cell r="H28">
            <v>2454</v>
          </cell>
          <cell r="I28">
            <v>3777</v>
          </cell>
        </row>
        <row r="29">
          <cell r="B29" t="str">
            <v>Internal Medicine: General</v>
          </cell>
          <cell r="C29">
            <v>27</v>
          </cell>
          <cell r="D29">
            <v>264</v>
          </cell>
          <cell r="E29">
            <v>4071</v>
          </cell>
          <cell r="F29">
            <v>2109</v>
          </cell>
          <cell r="G29">
            <v>1460</v>
          </cell>
          <cell r="H29">
            <v>2480</v>
          </cell>
          <cell r="I29">
            <v>4149</v>
          </cell>
        </row>
        <row r="30">
          <cell r="B30" t="str">
            <v>Internal Medicine: Ambulatory Only (No Inpatient Work)</v>
          </cell>
          <cell r="C30">
            <v>4</v>
          </cell>
          <cell r="D30">
            <v>26</v>
          </cell>
          <cell r="E30">
            <v>4583</v>
          </cell>
          <cell r="F30">
            <v>1383</v>
          </cell>
          <cell r="G30">
            <v>2764</v>
          </cell>
          <cell r="H30">
            <v>3613</v>
          </cell>
          <cell r="I30">
            <v>4621</v>
          </cell>
        </row>
        <row r="31">
          <cell r="B31" t="str">
            <v>Nephrology</v>
          </cell>
          <cell r="C31">
            <v>18</v>
          </cell>
          <cell r="D31">
            <v>90</v>
          </cell>
          <cell r="E31">
            <v>7428</v>
          </cell>
          <cell r="F31">
            <v>3560</v>
          </cell>
          <cell r="G31">
            <v>3478</v>
          </cell>
          <cell r="H31">
            <v>5103</v>
          </cell>
          <cell r="I31">
            <v>7082</v>
          </cell>
        </row>
        <row r="32">
          <cell r="B32" t="str">
            <v>Neurology</v>
          </cell>
          <cell r="C32">
            <v>26</v>
          </cell>
          <cell r="D32">
            <v>216</v>
          </cell>
          <cell r="E32">
            <v>4482</v>
          </cell>
          <cell r="F32">
            <v>2238</v>
          </cell>
          <cell r="G32">
            <v>2457</v>
          </cell>
          <cell r="H32">
            <v>3212</v>
          </cell>
          <cell r="I32">
            <v>4079</v>
          </cell>
        </row>
        <row r="33">
          <cell r="B33" t="str">
            <v>Neurology: Epilepsy/EEG</v>
          </cell>
          <cell r="C33">
            <v>10</v>
          </cell>
          <cell r="D33">
            <v>25</v>
          </cell>
          <cell r="E33">
            <v>7394</v>
          </cell>
          <cell r="F33">
            <v>2983</v>
          </cell>
          <cell r="G33">
            <v>3340</v>
          </cell>
          <cell r="H33">
            <v>5526</v>
          </cell>
          <cell r="I33">
            <v>6532</v>
          </cell>
        </row>
        <row r="34">
          <cell r="B34" t="str">
            <v>Neurology: Neuromuscular</v>
          </cell>
          <cell r="C34">
            <v>12</v>
          </cell>
          <cell r="D34">
            <v>33</v>
          </cell>
          <cell r="E34">
            <v>4348</v>
          </cell>
          <cell r="F34">
            <v>1035</v>
          </cell>
          <cell r="G34">
            <v>3408</v>
          </cell>
          <cell r="H34">
            <v>3693</v>
          </cell>
          <cell r="I34">
            <v>4053</v>
          </cell>
        </row>
        <row r="35">
          <cell r="B35" t="str">
            <v>Neurology: Stroke Medicine</v>
          </cell>
          <cell r="C35">
            <v>7</v>
          </cell>
          <cell r="D35">
            <v>18</v>
          </cell>
          <cell r="E35">
            <v>3677</v>
          </cell>
          <cell r="F35">
            <v>1794</v>
          </cell>
          <cell r="G35">
            <v>1124</v>
          </cell>
          <cell r="H35">
            <v>2373</v>
          </cell>
          <cell r="I35">
            <v>3533</v>
          </cell>
        </row>
        <row r="36">
          <cell r="B36" t="str">
            <v>Obstetrics/Gynecology: General</v>
          </cell>
          <cell r="C36">
            <v>20</v>
          </cell>
          <cell r="D36">
            <v>139</v>
          </cell>
          <cell r="E36">
            <v>7196</v>
          </cell>
          <cell r="F36">
            <v>3195</v>
          </cell>
          <cell r="G36">
            <v>3085</v>
          </cell>
          <cell r="H36">
            <v>5084</v>
          </cell>
          <cell r="I36">
            <v>6956</v>
          </cell>
        </row>
        <row r="37">
          <cell r="B37" t="str">
            <v>OB/GYN: Gynecology (Only)</v>
          </cell>
          <cell r="C37">
            <v>4</v>
          </cell>
          <cell r="D37">
            <v>18</v>
          </cell>
          <cell r="E37">
            <v>5358</v>
          </cell>
          <cell r="F37">
            <v>2204</v>
          </cell>
          <cell r="G37">
            <v>2052</v>
          </cell>
          <cell r="H37">
            <v>4029</v>
          </cell>
          <cell r="I37">
            <v>4873</v>
          </cell>
        </row>
        <row r="38">
          <cell r="B38" t="str">
            <v>OB/GYN: Gynecological Oncology</v>
          </cell>
          <cell r="C38">
            <v>10</v>
          </cell>
          <cell r="D38">
            <v>24</v>
          </cell>
          <cell r="E38">
            <v>7136</v>
          </cell>
          <cell r="F38">
            <v>3481</v>
          </cell>
          <cell r="G38">
            <v>3352</v>
          </cell>
          <cell r="H38">
            <v>4673</v>
          </cell>
          <cell r="I38">
            <v>6420</v>
          </cell>
        </row>
        <row r="39">
          <cell r="B39" t="str">
            <v>OB/GYN: Maternal and Fetal Medicine</v>
          </cell>
          <cell r="C39">
            <v>18</v>
          </cell>
          <cell r="D39">
            <v>49</v>
          </cell>
          <cell r="E39">
            <v>9721</v>
          </cell>
          <cell r="F39">
            <v>4413</v>
          </cell>
          <cell r="G39">
            <v>4899</v>
          </cell>
          <cell r="H39">
            <v>6751</v>
          </cell>
          <cell r="I39">
            <v>8834</v>
          </cell>
        </row>
        <row r="40">
          <cell r="B40" t="str">
            <v>OB/GYN: Reproductive Endocrinology</v>
          </cell>
          <cell r="C40">
            <v>7</v>
          </cell>
          <cell r="D40">
            <v>13</v>
          </cell>
          <cell r="E40">
            <v>5776</v>
          </cell>
          <cell r="F40">
            <v>3137</v>
          </cell>
          <cell r="G40">
            <v>1951</v>
          </cell>
          <cell r="H40">
            <v>3247</v>
          </cell>
          <cell r="I40">
            <v>4553</v>
          </cell>
        </row>
        <row r="41">
          <cell r="B41" t="str">
            <v>OB/GYN: Urogynecology</v>
          </cell>
          <cell r="C41">
            <v>9</v>
          </cell>
          <cell r="D41">
            <v>15</v>
          </cell>
          <cell r="E41">
            <v>5649</v>
          </cell>
          <cell r="F41">
            <v>2093</v>
          </cell>
          <cell r="G41">
            <v>2109</v>
          </cell>
          <cell r="H41">
            <v>4249</v>
          </cell>
          <cell r="I41">
            <v>6025</v>
          </cell>
        </row>
        <row r="42">
          <cell r="B42" t="str">
            <v>Occupational Medicine</v>
          </cell>
          <cell r="C42">
            <v>1</v>
          </cell>
          <cell r="D42">
            <v>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Ophthalmology</v>
          </cell>
          <cell r="C43">
            <v>15</v>
          </cell>
          <cell r="D43">
            <v>90</v>
          </cell>
          <cell r="E43">
            <v>8919</v>
          </cell>
          <cell r="F43">
            <v>5063</v>
          </cell>
          <cell r="G43">
            <v>3031</v>
          </cell>
          <cell r="H43">
            <v>5139</v>
          </cell>
          <cell r="I43">
            <v>7934</v>
          </cell>
        </row>
        <row r="44">
          <cell r="B44" t="str">
            <v>Ophthalmology: Corneal and Refractive Surgery</v>
          </cell>
          <cell r="C44">
            <v>7</v>
          </cell>
          <cell r="D44">
            <v>12</v>
          </cell>
          <cell r="E44">
            <v>9310</v>
          </cell>
          <cell r="F44">
            <v>4164</v>
          </cell>
          <cell r="G44">
            <v>3149</v>
          </cell>
          <cell r="H44">
            <v>5068</v>
          </cell>
          <cell r="I44">
            <v>9786</v>
          </cell>
        </row>
        <row r="45">
          <cell r="B45" t="str">
            <v>Ophthalmology: Glaucoma</v>
          </cell>
          <cell r="C45">
            <v>7</v>
          </cell>
          <cell r="D45">
            <v>12</v>
          </cell>
          <cell r="E45">
            <v>7976</v>
          </cell>
          <cell r="F45">
            <v>2845</v>
          </cell>
          <cell r="G45">
            <v>3608</v>
          </cell>
          <cell r="H45">
            <v>5571</v>
          </cell>
          <cell r="I45">
            <v>7725</v>
          </cell>
        </row>
        <row r="46">
          <cell r="B46" t="str">
            <v>Ophthalmology: Neurology</v>
          </cell>
          <cell r="C46">
            <v>4</v>
          </cell>
          <cell r="D46">
            <v>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Ophthalmology: Oculoplastic and Recon Surgery</v>
          </cell>
          <cell r="C47">
            <v>6</v>
          </cell>
          <cell r="D47">
            <v>10</v>
          </cell>
          <cell r="E47">
            <v>8602</v>
          </cell>
          <cell r="F47">
            <v>4658</v>
          </cell>
          <cell r="G47">
            <v>3190</v>
          </cell>
          <cell r="H47">
            <v>5314</v>
          </cell>
          <cell r="I47">
            <v>7020</v>
          </cell>
        </row>
        <row r="48">
          <cell r="B48" t="str">
            <v>Ophthalmology: Retina</v>
          </cell>
          <cell r="C48">
            <v>10</v>
          </cell>
          <cell r="D48">
            <v>20</v>
          </cell>
          <cell r="E48">
            <v>12380</v>
          </cell>
          <cell r="F48">
            <v>4570</v>
          </cell>
          <cell r="G48">
            <v>4963</v>
          </cell>
          <cell r="H48">
            <v>9515</v>
          </cell>
          <cell r="I48">
            <v>11976</v>
          </cell>
        </row>
        <row r="49">
          <cell r="B49" t="str">
            <v>Orthopedic (Nonsurgical)</v>
          </cell>
          <cell r="C49">
            <v>7</v>
          </cell>
          <cell r="D49">
            <v>23</v>
          </cell>
          <cell r="E49">
            <v>7558</v>
          </cell>
          <cell r="F49">
            <v>3261</v>
          </cell>
          <cell r="G49">
            <v>3512</v>
          </cell>
          <cell r="H49">
            <v>5487</v>
          </cell>
          <cell r="I49">
            <v>6720</v>
          </cell>
        </row>
        <row r="50">
          <cell r="B50" t="str">
            <v>Orthopedic Surgery: General</v>
          </cell>
          <cell r="C50">
            <v>10</v>
          </cell>
          <cell r="D50">
            <v>33</v>
          </cell>
          <cell r="E50">
            <v>10493</v>
          </cell>
          <cell r="F50">
            <v>3447</v>
          </cell>
          <cell r="G50">
            <v>6435</v>
          </cell>
          <cell r="H50">
            <v>8200</v>
          </cell>
          <cell r="I50">
            <v>9928</v>
          </cell>
        </row>
        <row r="51">
          <cell r="B51" t="str">
            <v>Orthopedic Surgery: Foot and Ankle</v>
          </cell>
          <cell r="C51">
            <v>13</v>
          </cell>
          <cell r="D51">
            <v>22</v>
          </cell>
          <cell r="E51">
            <v>8527</v>
          </cell>
          <cell r="F51">
            <v>3086</v>
          </cell>
          <cell r="G51">
            <v>3528</v>
          </cell>
          <cell r="H51">
            <v>7120</v>
          </cell>
          <cell r="I51">
            <v>8339</v>
          </cell>
        </row>
        <row r="52">
          <cell r="B52" t="str">
            <v>Orthopedic Surgery: Hand</v>
          </cell>
          <cell r="C52">
            <v>18</v>
          </cell>
          <cell r="D52">
            <v>43</v>
          </cell>
          <cell r="E52">
            <v>9832</v>
          </cell>
          <cell r="F52">
            <v>4259</v>
          </cell>
          <cell r="G52">
            <v>5068</v>
          </cell>
          <cell r="H52">
            <v>6735</v>
          </cell>
          <cell r="I52">
            <v>9025</v>
          </cell>
        </row>
        <row r="53">
          <cell r="B53" t="str">
            <v>Orthopedic Surgery: Hip and Joint</v>
          </cell>
          <cell r="C53">
            <v>14</v>
          </cell>
          <cell r="D53">
            <v>35</v>
          </cell>
          <cell r="E53">
            <v>12094</v>
          </cell>
          <cell r="F53">
            <v>5330</v>
          </cell>
          <cell r="G53">
            <v>5680</v>
          </cell>
          <cell r="H53">
            <v>7963</v>
          </cell>
          <cell r="I53">
            <v>11097</v>
          </cell>
        </row>
        <row r="54">
          <cell r="B54" t="str">
            <v>Orthopedic Surgery: Oncology</v>
          </cell>
          <cell r="C54">
            <v>7</v>
          </cell>
          <cell r="D54">
            <v>10</v>
          </cell>
          <cell r="E54">
            <v>7497</v>
          </cell>
          <cell r="F54">
            <v>3015</v>
          </cell>
          <cell r="G54">
            <v>3005</v>
          </cell>
          <cell r="H54">
            <v>5298</v>
          </cell>
          <cell r="I54">
            <v>6956</v>
          </cell>
        </row>
        <row r="55">
          <cell r="B55" t="str">
            <v>Orthopedic Surgery: Shoulder/Elbow</v>
          </cell>
          <cell r="C55">
            <v>5</v>
          </cell>
          <cell r="D55">
            <v>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Orthopedic Surgery: Spine</v>
          </cell>
          <cell r="C56">
            <v>15</v>
          </cell>
          <cell r="D56">
            <v>31</v>
          </cell>
          <cell r="E56">
            <v>15364</v>
          </cell>
          <cell r="F56">
            <v>7411</v>
          </cell>
          <cell r="G56">
            <v>7070</v>
          </cell>
          <cell r="H56">
            <v>9924</v>
          </cell>
          <cell r="I56">
            <v>14035</v>
          </cell>
        </row>
        <row r="57">
          <cell r="B57" t="str">
            <v>Orthopedic Surgery: Trauma</v>
          </cell>
          <cell r="C57">
            <v>15</v>
          </cell>
          <cell r="D57">
            <v>46</v>
          </cell>
          <cell r="E57">
            <v>10262</v>
          </cell>
          <cell r="F57">
            <v>4111</v>
          </cell>
          <cell r="G57">
            <v>5870</v>
          </cell>
          <cell r="H57">
            <v>7905</v>
          </cell>
          <cell r="I57">
            <v>9354</v>
          </cell>
        </row>
        <row r="58">
          <cell r="B58" t="str">
            <v>Orthopedic Surgery: Sports Medicine</v>
          </cell>
          <cell r="C58">
            <v>17</v>
          </cell>
          <cell r="D58">
            <v>52</v>
          </cell>
          <cell r="E58">
            <v>9438</v>
          </cell>
          <cell r="F58">
            <v>4298</v>
          </cell>
          <cell r="G58">
            <v>5138</v>
          </cell>
          <cell r="H58">
            <v>6768</v>
          </cell>
          <cell r="I58">
            <v>8341</v>
          </cell>
        </row>
        <row r="59">
          <cell r="B59" t="str">
            <v>Otorhinolaryngology</v>
          </cell>
          <cell r="C59">
            <v>17</v>
          </cell>
          <cell r="D59">
            <v>131</v>
          </cell>
          <cell r="E59">
            <v>8063</v>
          </cell>
          <cell r="F59">
            <v>3625</v>
          </cell>
          <cell r="G59">
            <v>3813</v>
          </cell>
          <cell r="H59">
            <v>5614</v>
          </cell>
          <cell r="I59">
            <v>7533</v>
          </cell>
        </row>
        <row r="60">
          <cell r="B60" t="str">
            <v>Pain Management: Nonanesthesia</v>
          </cell>
          <cell r="C60">
            <v>2</v>
          </cell>
          <cell r="D60">
            <v>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Pathology: Anatomic and Clinical</v>
          </cell>
          <cell r="C61">
            <v>10</v>
          </cell>
          <cell r="D61">
            <v>69</v>
          </cell>
          <cell r="E61">
            <v>7165</v>
          </cell>
          <cell r="F61">
            <v>3259</v>
          </cell>
          <cell r="G61">
            <v>3154</v>
          </cell>
          <cell r="H61">
            <v>6031</v>
          </cell>
          <cell r="I61">
            <v>7163</v>
          </cell>
        </row>
        <row r="62">
          <cell r="B62" t="str">
            <v>Pathology: Anatomic</v>
          </cell>
          <cell r="C62">
            <v>13</v>
          </cell>
          <cell r="D62">
            <v>69</v>
          </cell>
          <cell r="E62">
            <v>6697</v>
          </cell>
          <cell r="F62">
            <v>3797</v>
          </cell>
          <cell r="G62">
            <v>2412</v>
          </cell>
          <cell r="H62">
            <v>3860</v>
          </cell>
          <cell r="I62">
            <v>6070</v>
          </cell>
        </row>
        <row r="63">
          <cell r="B63" t="str">
            <v>Pathology: Anatomic-Cytopathology</v>
          </cell>
          <cell r="C63">
            <v>6</v>
          </cell>
          <cell r="D63">
            <v>7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Pathology: Anatomic-Neuropathology</v>
          </cell>
          <cell r="C64">
            <v>5</v>
          </cell>
          <cell r="D64">
            <v>8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Pathology: Anatomic-Renal</v>
          </cell>
          <cell r="C65">
            <v>3</v>
          </cell>
          <cell r="D65">
            <v>4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Pathology: Clinical</v>
          </cell>
          <cell r="C66">
            <v>10</v>
          </cell>
          <cell r="D66">
            <v>30</v>
          </cell>
          <cell r="E66">
            <v>4766</v>
          </cell>
          <cell r="F66">
            <v>2454</v>
          </cell>
          <cell r="G66">
            <v>1603</v>
          </cell>
          <cell r="H66">
            <v>2538</v>
          </cell>
          <cell r="I66">
            <v>4750</v>
          </cell>
        </row>
        <row r="67">
          <cell r="B67" t="str">
            <v>Pathology: Clinical-Hematopathology</v>
          </cell>
          <cell r="C67">
            <v>5</v>
          </cell>
          <cell r="D67">
            <v>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Pathology: Clinical-Transfusion Medicine</v>
          </cell>
          <cell r="C68">
            <v>1</v>
          </cell>
          <cell r="D68">
            <v>2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Pathology: Surgical</v>
          </cell>
          <cell r="C69">
            <v>3</v>
          </cell>
          <cell r="D69">
            <v>25</v>
          </cell>
          <cell r="E69">
            <v>9909</v>
          </cell>
          <cell r="F69">
            <v>3498</v>
          </cell>
          <cell r="G69">
            <v>4948</v>
          </cell>
          <cell r="H69">
            <v>7660</v>
          </cell>
          <cell r="I69">
            <v>9778</v>
          </cell>
        </row>
        <row r="70">
          <cell r="B70" t="str">
            <v>Pediatrics: General</v>
          </cell>
          <cell r="C70">
            <v>28</v>
          </cell>
          <cell r="D70">
            <v>182</v>
          </cell>
          <cell r="E70">
            <v>5473</v>
          </cell>
          <cell r="F70">
            <v>2238</v>
          </cell>
          <cell r="G70">
            <v>2956</v>
          </cell>
          <cell r="H70">
            <v>4042</v>
          </cell>
          <cell r="I70">
            <v>5119</v>
          </cell>
        </row>
        <row r="71">
          <cell r="B71" t="str">
            <v>Pediatrics: Adolescent Medicine</v>
          </cell>
          <cell r="C71">
            <v>8</v>
          </cell>
          <cell r="D71">
            <v>17</v>
          </cell>
          <cell r="E71">
            <v>3430</v>
          </cell>
          <cell r="F71">
            <v>1588</v>
          </cell>
          <cell r="G71">
            <v>1098</v>
          </cell>
          <cell r="H71">
            <v>2476</v>
          </cell>
          <cell r="I71">
            <v>3478</v>
          </cell>
        </row>
        <row r="72">
          <cell r="B72" t="str">
            <v>Pediatrics: Allergy/Immunology</v>
          </cell>
          <cell r="C72">
            <v>8</v>
          </cell>
          <cell r="D72">
            <v>10</v>
          </cell>
          <cell r="E72">
            <v>3320</v>
          </cell>
          <cell r="F72">
            <v>1464</v>
          </cell>
          <cell r="G72">
            <v>1253</v>
          </cell>
          <cell r="H72">
            <v>2111</v>
          </cell>
          <cell r="I72">
            <v>3505</v>
          </cell>
        </row>
        <row r="73">
          <cell r="B73" t="str">
            <v>Pediatrics: Bone Marrow Transplant</v>
          </cell>
          <cell r="C73">
            <v>1</v>
          </cell>
          <cell r="D73">
            <v>4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 t="str">
            <v>Pediatrics: Cardiology</v>
          </cell>
          <cell r="C74">
            <v>15</v>
          </cell>
          <cell r="D74">
            <v>106</v>
          </cell>
          <cell r="E74">
            <v>5837</v>
          </cell>
          <cell r="F74">
            <v>3012</v>
          </cell>
          <cell r="G74">
            <v>2914</v>
          </cell>
          <cell r="H74">
            <v>4204</v>
          </cell>
          <cell r="I74">
            <v>5279</v>
          </cell>
        </row>
        <row r="75">
          <cell r="B75" t="str">
            <v>Pediatrics: Cardiovascular Surgery</v>
          </cell>
          <cell r="C75">
            <v>6</v>
          </cell>
          <cell r="D75">
            <v>18</v>
          </cell>
          <cell r="E75">
            <v>9920</v>
          </cell>
          <cell r="F75">
            <v>5284</v>
          </cell>
          <cell r="G75">
            <v>3418</v>
          </cell>
          <cell r="H75">
            <v>5521</v>
          </cell>
          <cell r="I75">
            <v>9937</v>
          </cell>
        </row>
        <row r="76">
          <cell r="B76" t="str">
            <v>Pediatrics: Child Development</v>
          </cell>
          <cell r="C76">
            <v>11</v>
          </cell>
          <cell r="D76">
            <v>22</v>
          </cell>
          <cell r="E76">
            <v>2922</v>
          </cell>
          <cell r="F76">
            <v>1578</v>
          </cell>
          <cell r="G76">
            <v>1504</v>
          </cell>
          <cell r="H76">
            <v>1796</v>
          </cell>
          <cell r="I76">
            <v>2295</v>
          </cell>
        </row>
        <row r="77">
          <cell r="B77" t="str">
            <v>Pediatrics: Critical Care/Intensivist</v>
          </cell>
          <cell r="C77">
            <v>16</v>
          </cell>
          <cell r="D77">
            <v>74</v>
          </cell>
          <cell r="E77">
            <v>6507</v>
          </cell>
          <cell r="F77">
            <v>3013</v>
          </cell>
          <cell r="G77">
            <v>3218</v>
          </cell>
          <cell r="H77">
            <v>4019</v>
          </cell>
          <cell r="I77">
            <v>6338</v>
          </cell>
        </row>
        <row r="78">
          <cell r="B78" t="str">
            <v>Pediatrics: Dermatology</v>
          </cell>
          <cell r="C78">
            <v>3</v>
          </cell>
          <cell r="D78">
            <v>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B79" t="str">
            <v>Pediatrics: Emergency Medicine</v>
          </cell>
          <cell r="C79">
            <v>8</v>
          </cell>
          <cell r="D79">
            <v>60</v>
          </cell>
          <cell r="E79">
            <v>6386</v>
          </cell>
          <cell r="F79">
            <v>2668</v>
          </cell>
          <cell r="G79">
            <v>2600</v>
          </cell>
          <cell r="H79">
            <v>4297</v>
          </cell>
          <cell r="I79">
            <v>6614</v>
          </cell>
        </row>
        <row r="80">
          <cell r="B80" t="str">
            <v>Pediatrics: Endocrinology</v>
          </cell>
          <cell r="C80">
            <v>17</v>
          </cell>
          <cell r="D80">
            <v>52</v>
          </cell>
          <cell r="E80">
            <v>3688</v>
          </cell>
          <cell r="F80">
            <v>1099</v>
          </cell>
          <cell r="G80">
            <v>2363</v>
          </cell>
          <cell r="H80">
            <v>2794</v>
          </cell>
          <cell r="I80">
            <v>3499</v>
          </cell>
        </row>
        <row r="81">
          <cell r="B81" t="str">
            <v>Pediatrics: Gastroenterology</v>
          </cell>
          <cell r="C81">
            <v>16</v>
          </cell>
          <cell r="D81">
            <v>59</v>
          </cell>
          <cell r="E81">
            <v>4548</v>
          </cell>
          <cell r="F81">
            <v>1477</v>
          </cell>
          <cell r="G81">
            <v>2912</v>
          </cell>
          <cell r="H81">
            <v>3650</v>
          </cell>
          <cell r="I81">
            <v>4399</v>
          </cell>
        </row>
        <row r="82">
          <cell r="B82" t="str">
            <v>Pediatrics: Genetics</v>
          </cell>
          <cell r="C82">
            <v>8</v>
          </cell>
          <cell r="D82">
            <v>16</v>
          </cell>
          <cell r="E82">
            <v>2288</v>
          </cell>
          <cell r="F82">
            <v>903</v>
          </cell>
          <cell r="G82">
            <v>1035</v>
          </cell>
          <cell r="H82">
            <v>1677</v>
          </cell>
          <cell r="I82">
            <v>1996</v>
          </cell>
        </row>
        <row r="83">
          <cell r="B83" t="str">
            <v>Pediatrics: Hematology/Oncology</v>
          </cell>
          <cell r="C83">
            <v>14</v>
          </cell>
          <cell r="D83">
            <v>47</v>
          </cell>
          <cell r="E83">
            <v>4427</v>
          </cell>
          <cell r="F83">
            <v>1452</v>
          </cell>
          <cell r="G83">
            <v>2842</v>
          </cell>
          <cell r="H83">
            <v>3409</v>
          </cell>
          <cell r="I83">
            <v>4245</v>
          </cell>
        </row>
        <row r="84">
          <cell r="B84" t="str">
            <v>Pediatrics: Hospitalist</v>
          </cell>
          <cell r="C84">
            <v>16</v>
          </cell>
          <cell r="D84">
            <v>105</v>
          </cell>
          <cell r="E84">
            <v>3449</v>
          </cell>
          <cell r="F84">
            <v>1310</v>
          </cell>
          <cell r="G84">
            <v>1881</v>
          </cell>
          <cell r="H84">
            <v>2540</v>
          </cell>
          <cell r="I84">
            <v>3384</v>
          </cell>
        </row>
        <row r="85">
          <cell r="B85" t="str">
            <v>Pediatrics: Hospitalist-Internal Medicine</v>
          </cell>
          <cell r="C85">
            <v>1</v>
          </cell>
          <cell r="D85">
            <v>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 t="str">
            <v>Pediatrics: Infectious Disease</v>
          </cell>
          <cell r="C86">
            <v>11</v>
          </cell>
          <cell r="D86">
            <v>16</v>
          </cell>
          <cell r="E86">
            <v>2848</v>
          </cell>
          <cell r="F86">
            <v>889</v>
          </cell>
          <cell r="G86">
            <v>1127</v>
          </cell>
          <cell r="H86">
            <v>2656</v>
          </cell>
          <cell r="I86">
            <v>2853</v>
          </cell>
        </row>
        <row r="87">
          <cell r="B87" t="str">
            <v>Pediatrics: Internal Medicine</v>
          </cell>
          <cell r="C87">
            <v>2</v>
          </cell>
          <cell r="D87">
            <v>3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 t="str">
            <v>Pediatrics: Neonatal Medicine</v>
          </cell>
          <cell r="C88">
            <v>19</v>
          </cell>
          <cell r="D88">
            <v>146</v>
          </cell>
          <cell r="E88">
            <v>12469</v>
          </cell>
          <cell r="F88">
            <v>5276</v>
          </cell>
          <cell r="G88">
            <v>5886</v>
          </cell>
          <cell r="H88">
            <v>8804</v>
          </cell>
          <cell r="I88">
            <v>12163</v>
          </cell>
        </row>
        <row r="89">
          <cell r="B89" t="str">
            <v>Pediatrics: Nephrology</v>
          </cell>
          <cell r="C89">
            <v>14</v>
          </cell>
          <cell r="D89">
            <v>28</v>
          </cell>
          <cell r="E89">
            <v>3841</v>
          </cell>
          <cell r="F89">
            <v>1446</v>
          </cell>
          <cell r="G89">
            <v>1788</v>
          </cell>
          <cell r="H89">
            <v>2885</v>
          </cell>
          <cell r="I89">
            <v>3867</v>
          </cell>
        </row>
        <row r="90">
          <cell r="B90" t="str">
            <v>Pediatrics: Neurology</v>
          </cell>
          <cell r="C90">
            <v>13</v>
          </cell>
          <cell r="D90">
            <v>65</v>
          </cell>
          <cell r="E90">
            <v>4493</v>
          </cell>
          <cell r="F90">
            <v>2407</v>
          </cell>
          <cell r="G90">
            <v>2016</v>
          </cell>
          <cell r="H90">
            <v>2949</v>
          </cell>
          <cell r="I90">
            <v>3820</v>
          </cell>
        </row>
        <row r="91">
          <cell r="B91" t="str">
            <v>Pediatrics: Neurological Surgery</v>
          </cell>
          <cell r="C91">
            <v>3</v>
          </cell>
          <cell r="D91">
            <v>7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B92" t="str">
            <v>Pediatrics: Ophthalmology</v>
          </cell>
          <cell r="C92">
            <v>7</v>
          </cell>
          <cell r="D92">
            <v>19</v>
          </cell>
          <cell r="E92">
            <v>9146</v>
          </cell>
          <cell r="F92">
            <v>4040</v>
          </cell>
          <cell r="G92">
            <v>5252</v>
          </cell>
          <cell r="H92">
            <v>6655</v>
          </cell>
          <cell r="I92">
            <v>8257</v>
          </cell>
        </row>
        <row r="93">
          <cell r="B93" t="str">
            <v>Pediatrics: Orthopedic Surgery</v>
          </cell>
          <cell r="C93">
            <v>11</v>
          </cell>
          <cell r="D93">
            <v>43</v>
          </cell>
          <cell r="E93">
            <v>7388</v>
          </cell>
          <cell r="F93">
            <v>3491</v>
          </cell>
          <cell r="G93">
            <v>3442</v>
          </cell>
          <cell r="H93">
            <v>4610</v>
          </cell>
          <cell r="I93">
            <v>6934</v>
          </cell>
        </row>
        <row r="94">
          <cell r="B94" t="str">
            <v>Pediatrics: Otorhinolaryngology</v>
          </cell>
          <cell r="C94">
            <v>7</v>
          </cell>
          <cell r="D94">
            <v>37</v>
          </cell>
          <cell r="E94">
            <v>7757</v>
          </cell>
          <cell r="F94">
            <v>2150</v>
          </cell>
          <cell r="G94">
            <v>5239</v>
          </cell>
          <cell r="H94">
            <v>6093</v>
          </cell>
          <cell r="I94">
            <v>7599</v>
          </cell>
        </row>
        <row r="95">
          <cell r="B95" t="str">
            <v>Pediatrics: Plastic and Reconstructive Surgery</v>
          </cell>
          <cell r="C95">
            <v>4</v>
          </cell>
          <cell r="D95">
            <v>6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B96" t="str">
            <v>Pediatrics: Pulmonology</v>
          </cell>
          <cell r="C96">
            <v>13</v>
          </cell>
          <cell r="D96">
            <v>43</v>
          </cell>
          <cell r="E96">
            <v>4568</v>
          </cell>
          <cell r="F96">
            <v>1612</v>
          </cell>
          <cell r="G96">
            <v>2566</v>
          </cell>
          <cell r="H96">
            <v>3413</v>
          </cell>
          <cell r="I96">
            <v>4170</v>
          </cell>
        </row>
        <row r="97">
          <cell r="B97" t="str">
            <v>Pediatrics: Radiology</v>
          </cell>
          <cell r="C97">
            <v>5</v>
          </cell>
          <cell r="D97">
            <v>28</v>
          </cell>
          <cell r="E97">
            <v>6444</v>
          </cell>
          <cell r="F97">
            <v>1524</v>
          </cell>
          <cell r="G97">
            <v>4484</v>
          </cell>
          <cell r="H97">
            <v>5318</v>
          </cell>
          <cell r="I97">
            <v>6244</v>
          </cell>
        </row>
        <row r="98">
          <cell r="B98" t="str">
            <v>Pediatrics: Rheumatology</v>
          </cell>
          <cell r="C98">
            <v>7</v>
          </cell>
          <cell r="D98">
            <v>11</v>
          </cell>
          <cell r="E98">
            <v>3650</v>
          </cell>
          <cell r="F98">
            <v>1218</v>
          </cell>
          <cell r="G98">
            <v>1873</v>
          </cell>
          <cell r="H98">
            <v>2545</v>
          </cell>
          <cell r="I98">
            <v>3611</v>
          </cell>
        </row>
        <row r="99">
          <cell r="B99" t="str">
            <v>Pediatrics: Sports Medicine</v>
          </cell>
          <cell r="C99">
            <v>2</v>
          </cell>
          <cell r="D99">
            <v>2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 t="str">
            <v>Pediatrics: Surgery</v>
          </cell>
          <cell r="C100">
            <v>9</v>
          </cell>
          <cell r="D100">
            <v>45</v>
          </cell>
          <cell r="E100">
            <v>8126</v>
          </cell>
          <cell r="F100">
            <v>3945</v>
          </cell>
          <cell r="G100">
            <v>5529</v>
          </cell>
          <cell r="H100">
            <v>6598</v>
          </cell>
          <cell r="I100">
            <v>7616</v>
          </cell>
        </row>
        <row r="101">
          <cell r="B101" t="str">
            <v>Pediatrics: Urgent Care</v>
          </cell>
          <cell r="C101">
            <v>2</v>
          </cell>
          <cell r="D101">
            <v>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 t="str">
            <v>Pediatrics: Urology</v>
          </cell>
          <cell r="C102">
            <v>4</v>
          </cell>
          <cell r="D102">
            <v>11</v>
          </cell>
          <cell r="E102">
            <v>7461</v>
          </cell>
          <cell r="F102">
            <v>2324</v>
          </cell>
          <cell r="G102">
            <v>3716</v>
          </cell>
          <cell r="H102">
            <v>5415</v>
          </cell>
          <cell r="I102">
            <v>6965</v>
          </cell>
        </row>
        <row r="103">
          <cell r="B103" t="str">
            <v>Physiatry (Physical Medicine and Rehabilitation)</v>
          </cell>
          <cell r="C103">
            <v>20</v>
          </cell>
          <cell r="D103">
            <v>73</v>
          </cell>
          <cell r="E103">
            <v>5504</v>
          </cell>
          <cell r="F103">
            <v>2544</v>
          </cell>
          <cell r="G103">
            <v>2508</v>
          </cell>
          <cell r="H103">
            <v>4043</v>
          </cell>
          <cell r="I103">
            <v>5547</v>
          </cell>
        </row>
        <row r="104">
          <cell r="B104" t="str">
            <v>Podiatry: General</v>
          </cell>
          <cell r="C104">
            <v>5</v>
          </cell>
          <cell r="D104">
            <v>10</v>
          </cell>
          <cell r="E104">
            <v>5405</v>
          </cell>
          <cell r="F104">
            <v>2043</v>
          </cell>
          <cell r="G104">
            <v>2779</v>
          </cell>
          <cell r="H104">
            <v>3539</v>
          </cell>
          <cell r="I104">
            <v>5365</v>
          </cell>
        </row>
        <row r="105">
          <cell r="B105" t="str">
            <v>Podiatry: Surgery-Foot and Ankle</v>
          </cell>
          <cell r="C105">
            <v>1</v>
          </cell>
          <cell r="D105">
            <v>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 t="str">
            <v>Psychiatry: General</v>
          </cell>
          <cell r="C106">
            <v>21</v>
          </cell>
          <cell r="D106">
            <v>141</v>
          </cell>
          <cell r="E106">
            <v>4150</v>
          </cell>
          <cell r="F106">
            <v>2556</v>
          </cell>
          <cell r="G106">
            <v>1467</v>
          </cell>
          <cell r="H106">
            <v>2238</v>
          </cell>
          <cell r="I106">
            <v>3598</v>
          </cell>
        </row>
        <row r="107">
          <cell r="B107" t="str">
            <v>Psychiatry: Child and Adolescent</v>
          </cell>
          <cell r="C107">
            <v>8</v>
          </cell>
          <cell r="D107">
            <v>33</v>
          </cell>
          <cell r="E107">
            <v>3005</v>
          </cell>
          <cell r="F107">
            <v>1223</v>
          </cell>
          <cell r="G107">
            <v>1446</v>
          </cell>
          <cell r="H107">
            <v>2312</v>
          </cell>
          <cell r="I107">
            <v>2840</v>
          </cell>
        </row>
        <row r="108">
          <cell r="B108" t="str">
            <v>Psychiatry: Geriatric</v>
          </cell>
          <cell r="C108">
            <v>3</v>
          </cell>
          <cell r="D108">
            <v>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 t="str">
            <v>Pulmonary Medicine: General</v>
          </cell>
          <cell r="C109">
            <v>10</v>
          </cell>
          <cell r="D109">
            <v>67</v>
          </cell>
          <cell r="E109">
            <v>7568</v>
          </cell>
          <cell r="F109">
            <v>3554</v>
          </cell>
          <cell r="G109">
            <v>3994</v>
          </cell>
          <cell r="H109">
            <v>5327</v>
          </cell>
          <cell r="I109">
            <v>6559</v>
          </cell>
        </row>
        <row r="110">
          <cell r="B110" t="str">
            <v>Pulmonary Medicine: Critical Care</v>
          </cell>
          <cell r="C110">
            <v>7</v>
          </cell>
          <cell r="D110">
            <v>19</v>
          </cell>
          <cell r="E110">
            <v>6973</v>
          </cell>
          <cell r="F110">
            <v>2363</v>
          </cell>
          <cell r="G110">
            <v>3182</v>
          </cell>
          <cell r="H110">
            <v>4450</v>
          </cell>
          <cell r="I110">
            <v>7745</v>
          </cell>
        </row>
        <row r="111">
          <cell r="B111" t="str">
            <v>Pulmonary Medicine: General and Critical Care</v>
          </cell>
          <cell r="C111">
            <v>8</v>
          </cell>
          <cell r="D111">
            <v>34</v>
          </cell>
          <cell r="E111">
            <v>7932</v>
          </cell>
          <cell r="F111">
            <v>3737</v>
          </cell>
          <cell r="G111">
            <v>4194</v>
          </cell>
          <cell r="H111">
            <v>5511</v>
          </cell>
          <cell r="I111">
            <v>7211</v>
          </cell>
        </row>
        <row r="112">
          <cell r="B112" t="str">
            <v>Radiation Oncology</v>
          </cell>
          <cell r="C112">
            <v>15</v>
          </cell>
          <cell r="D112">
            <v>87</v>
          </cell>
          <cell r="E112">
            <v>9331</v>
          </cell>
          <cell r="F112">
            <v>3234</v>
          </cell>
          <cell r="G112">
            <v>5147</v>
          </cell>
          <cell r="H112">
            <v>7217</v>
          </cell>
          <cell r="I112">
            <v>8809</v>
          </cell>
        </row>
        <row r="113">
          <cell r="B113" t="str">
            <v>Radiology: Interventional</v>
          </cell>
          <cell r="C113">
            <v>13</v>
          </cell>
          <cell r="D113">
            <v>72</v>
          </cell>
          <cell r="E113">
            <v>8578</v>
          </cell>
          <cell r="F113">
            <v>4555</v>
          </cell>
          <cell r="G113">
            <v>2445</v>
          </cell>
          <cell r="H113">
            <v>5473</v>
          </cell>
          <cell r="I113">
            <v>8080</v>
          </cell>
        </row>
        <row r="114">
          <cell r="B114" t="str">
            <v>Radiology: Diagnostic</v>
          </cell>
          <cell r="C114">
            <v>22</v>
          </cell>
          <cell r="D114">
            <v>457</v>
          </cell>
          <cell r="E114">
            <v>7882</v>
          </cell>
          <cell r="F114">
            <v>3899</v>
          </cell>
          <cell r="G114">
            <v>3044</v>
          </cell>
          <cell r="H114">
            <v>5226</v>
          </cell>
          <cell r="I114">
            <v>7605</v>
          </cell>
        </row>
        <row r="115">
          <cell r="B115" t="str">
            <v>Radiology: Neurological</v>
          </cell>
          <cell r="C115">
            <v>12</v>
          </cell>
          <cell r="D115">
            <v>63</v>
          </cell>
          <cell r="E115">
            <v>12535</v>
          </cell>
          <cell r="F115">
            <v>5701</v>
          </cell>
          <cell r="G115">
            <v>5951</v>
          </cell>
          <cell r="H115">
            <v>9570</v>
          </cell>
          <cell r="I115">
            <v>11546</v>
          </cell>
        </row>
        <row r="116">
          <cell r="B116" t="str">
            <v>Radiology: Nuclear Medicine</v>
          </cell>
          <cell r="C116">
            <v>16</v>
          </cell>
          <cell r="D116">
            <v>40</v>
          </cell>
          <cell r="E116">
            <v>5751</v>
          </cell>
          <cell r="F116">
            <v>2394</v>
          </cell>
          <cell r="G116">
            <v>2596</v>
          </cell>
          <cell r="H116">
            <v>4146</v>
          </cell>
          <cell r="I116">
            <v>5357</v>
          </cell>
        </row>
        <row r="117">
          <cell r="B117" t="str">
            <v>Rheumatology</v>
          </cell>
          <cell r="C117">
            <v>16</v>
          </cell>
          <cell r="D117">
            <v>49</v>
          </cell>
          <cell r="E117">
            <v>4736</v>
          </cell>
          <cell r="F117">
            <v>1865</v>
          </cell>
          <cell r="G117">
            <v>2265</v>
          </cell>
          <cell r="H117">
            <v>3563</v>
          </cell>
          <cell r="I117">
            <v>4167</v>
          </cell>
        </row>
        <row r="118">
          <cell r="B118" t="str">
            <v>Sleep Medicine</v>
          </cell>
          <cell r="C118">
            <v>4</v>
          </cell>
          <cell r="D118">
            <v>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Surgery: General</v>
          </cell>
          <cell r="C119">
            <v>19</v>
          </cell>
          <cell r="D119">
            <v>72</v>
          </cell>
          <cell r="E119">
            <v>7405</v>
          </cell>
          <cell r="F119">
            <v>3161</v>
          </cell>
          <cell r="G119">
            <v>3465</v>
          </cell>
          <cell r="H119">
            <v>5033</v>
          </cell>
          <cell r="I119">
            <v>7438</v>
          </cell>
        </row>
        <row r="120">
          <cell r="B120" t="str">
            <v>Surgery: Bariatric</v>
          </cell>
          <cell r="C120">
            <v>4</v>
          </cell>
          <cell r="D120">
            <v>8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Surgery: Breast</v>
          </cell>
          <cell r="C121">
            <v>7</v>
          </cell>
          <cell r="D121">
            <v>13</v>
          </cell>
          <cell r="E121">
            <v>7577</v>
          </cell>
          <cell r="F121">
            <v>3486</v>
          </cell>
          <cell r="G121">
            <v>3636</v>
          </cell>
          <cell r="H121">
            <v>4838</v>
          </cell>
          <cell r="I121">
            <v>6393</v>
          </cell>
        </row>
        <row r="122">
          <cell r="B122" t="str">
            <v>Surgery: Cardiovascular</v>
          </cell>
          <cell r="C122">
            <v>12</v>
          </cell>
          <cell r="D122">
            <v>43</v>
          </cell>
          <cell r="E122">
            <v>14346</v>
          </cell>
          <cell r="F122">
            <v>7429</v>
          </cell>
          <cell r="G122">
            <v>4470</v>
          </cell>
          <cell r="H122">
            <v>9039</v>
          </cell>
          <cell r="I122">
            <v>12809</v>
          </cell>
        </row>
        <row r="123">
          <cell r="B123" t="str">
            <v>Surgery: Colon and Rectal</v>
          </cell>
          <cell r="C123">
            <v>12</v>
          </cell>
          <cell r="D123">
            <v>33</v>
          </cell>
          <cell r="E123">
            <v>9251</v>
          </cell>
          <cell r="F123">
            <v>3943</v>
          </cell>
          <cell r="G123">
            <v>4907</v>
          </cell>
          <cell r="H123">
            <v>7439</v>
          </cell>
          <cell r="I123">
            <v>8861</v>
          </cell>
        </row>
        <row r="124">
          <cell r="B124" t="str">
            <v>Surgery: Neurological</v>
          </cell>
          <cell r="C124">
            <v>18</v>
          </cell>
          <cell r="D124">
            <v>96</v>
          </cell>
          <cell r="E124">
            <v>10770</v>
          </cell>
          <cell r="F124">
            <v>6045</v>
          </cell>
          <cell r="G124">
            <v>4545</v>
          </cell>
          <cell r="H124">
            <v>6466</v>
          </cell>
          <cell r="I124">
            <v>9264</v>
          </cell>
        </row>
        <row r="125">
          <cell r="B125" t="str">
            <v>Surgery: Oncology</v>
          </cell>
          <cell r="C125">
            <v>12</v>
          </cell>
          <cell r="D125">
            <v>37</v>
          </cell>
          <cell r="E125">
            <v>7771</v>
          </cell>
          <cell r="F125">
            <v>3798</v>
          </cell>
          <cell r="G125">
            <v>3823</v>
          </cell>
          <cell r="H125">
            <v>4324</v>
          </cell>
          <cell r="I125">
            <v>6603</v>
          </cell>
        </row>
        <row r="126">
          <cell r="B126" t="str">
            <v>Surgery: Oral</v>
          </cell>
          <cell r="C126">
            <v>5</v>
          </cell>
          <cell r="D126">
            <v>10</v>
          </cell>
          <cell r="E126">
            <v>8879</v>
          </cell>
          <cell r="F126">
            <v>4518</v>
          </cell>
          <cell r="G126">
            <v>2408</v>
          </cell>
          <cell r="H126">
            <v>3782</v>
          </cell>
          <cell r="I126">
            <v>10326</v>
          </cell>
        </row>
        <row r="127">
          <cell r="B127" t="str">
            <v>Surgery: Plastic and Reconstruction</v>
          </cell>
          <cell r="C127">
            <v>17</v>
          </cell>
          <cell r="D127">
            <v>49</v>
          </cell>
          <cell r="E127">
            <v>8842</v>
          </cell>
          <cell r="F127">
            <v>4238</v>
          </cell>
          <cell r="G127">
            <v>3813</v>
          </cell>
          <cell r="H127">
            <v>6021</v>
          </cell>
          <cell r="I127">
            <v>8246</v>
          </cell>
        </row>
        <row r="128">
          <cell r="B128" t="str">
            <v>Surgery: Plastic and Reconstruction-Hand</v>
          </cell>
          <cell r="C128">
            <v>5</v>
          </cell>
          <cell r="D128">
            <v>10</v>
          </cell>
          <cell r="E128">
            <v>9457</v>
          </cell>
          <cell r="F128">
            <v>3784</v>
          </cell>
          <cell r="G128">
            <v>5867</v>
          </cell>
          <cell r="H128">
            <v>6196</v>
          </cell>
          <cell r="I128">
            <v>8795</v>
          </cell>
        </row>
        <row r="129">
          <cell r="B129" t="str">
            <v>Surgery: Thoracic (Primary)</v>
          </cell>
          <cell r="C129">
            <v>12</v>
          </cell>
          <cell r="D129">
            <v>37</v>
          </cell>
          <cell r="E129">
            <v>9057</v>
          </cell>
          <cell r="F129">
            <v>5037</v>
          </cell>
          <cell r="G129">
            <v>2730</v>
          </cell>
          <cell r="H129">
            <v>4335</v>
          </cell>
          <cell r="I129">
            <v>9687</v>
          </cell>
        </row>
        <row r="130">
          <cell r="B130" t="str">
            <v>Surgery: Transplant</v>
          </cell>
          <cell r="C130">
            <v>12</v>
          </cell>
          <cell r="D130">
            <v>39</v>
          </cell>
          <cell r="E130">
            <v>6900</v>
          </cell>
          <cell r="F130">
            <v>3214</v>
          </cell>
          <cell r="G130">
            <v>3113</v>
          </cell>
          <cell r="H130">
            <v>5061</v>
          </cell>
          <cell r="I130">
            <v>6008</v>
          </cell>
        </row>
        <row r="131">
          <cell r="B131" t="str">
            <v>Surgery: Transplant-Kidney</v>
          </cell>
          <cell r="C131">
            <v>5</v>
          </cell>
          <cell r="D131">
            <v>8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 t="str">
            <v>Surgery: Transplant-Liver</v>
          </cell>
          <cell r="C132">
            <v>2</v>
          </cell>
          <cell r="D132">
            <v>6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 t="str">
            <v>Surgery: Trauma</v>
          </cell>
          <cell r="C133">
            <v>15</v>
          </cell>
          <cell r="D133">
            <v>50</v>
          </cell>
          <cell r="E133">
            <v>9537</v>
          </cell>
          <cell r="F133">
            <v>3476</v>
          </cell>
          <cell r="G133">
            <v>5287</v>
          </cell>
          <cell r="H133">
            <v>7594</v>
          </cell>
          <cell r="I133">
            <v>9678</v>
          </cell>
        </row>
        <row r="134">
          <cell r="B134" t="str">
            <v>Surgery: Trauma-Burn</v>
          </cell>
          <cell r="C134">
            <v>4</v>
          </cell>
          <cell r="D134">
            <v>10</v>
          </cell>
          <cell r="E134">
            <v>8563</v>
          </cell>
          <cell r="F134">
            <v>1926</v>
          </cell>
          <cell r="G134">
            <v>5891</v>
          </cell>
          <cell r="H134">
            <v>6809</v>
          </cell>
          <cell r="I134">
            <v>8364</v>
          </cell>
        </row>
        <row r="135">
          <cell r="B135" t="str">
            <v>Surgery: Vascular (Primary)</v>
          </cell>
          <cell r="C135">
            <v>16</v>
          </cell>
          <cell r="D135">
            <v>37</v>
          </cell>
          <cell r="E135">
            <v>9456</v>
          </cell>
          <cell r="F135">
            <v>4133</v>
          </cell>
          <cell r="G135">
            <v>4160</v>
          </cell>
          <cell r="H135">
            <v>6482</v>
          </cell>
          <cell r="I135">
            <v>8708</v>
          </cell>
        </row>
        <row r="136">
          <cell r="B136" t="str">
            <v>Urgent Care</v>
          </cell>
          <cell r="C136">
            <v>2</v>
          </cell>
          <cell r="D136">
            <v>4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>Urology</v>
          </cell>
          <cell r="C137">
            <v>19</v>
          </cell>
          <cell r="D137">
            <v>97</v>
          </cell>
          <cell r="E137">
            <v>9373</v>
          </cell>
          <cell r="F137">
            <v>3796</v>
          </cell>
          <cell r="G137">
            <v>4934</v>
          </cell>
          <cell r="H137">
            <v>6757</v>
          </cell>
          <cell r="I137">
            <v>9208</v>
          </cell>
        </row>
        <row r="138">
          <cell r="B138" t="str">
            <v>Audiologist</v>
          </cell>
          <cell r="C138">
            <v>3</v>
          </cell>
          <cell r="D138">
            <v>11</v>
          </cell>
          <cell r="E138">
            <v>919</v>
          </cell>
          <cell r="F138">
            <v>421</v>
          </cell>
          <cell r="G138">
            <v>288</v>
          </cell>
          <cell r="H138">
            <v>435</v>
          </cell>
          <cell r="I138">
            <v>993</v>
          </cell>
        </row>
        <row r="139">
          <cell r="B139" t="str">
            <v>Dietician/Nutritionist</v>
          </cell>
          <cell r="C139">
            <v>4</v>
          </cell>
          <cell r="D139">
            <v>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 t="str">
            <v>Nurse Midwife: Outpatient/Inpatient Deliveries</v>
          </cell>
          <cell r="C140">
            <v>3</v>
          </cell>
          <cell r="D140">
            <v>22</v>
          </cell>
          <cell r="E140">
            <v>2835</v>
          </cell>
          <cell r="F140">
            <v>1275</v>
          </cell>
          <cell r="G140">
            <v>1606</v>
          </cell>
          <cell r="H140">
            <v>1950</v>
          </cell>
          <cell r="I140">
            <v>2361</v>
          </cell>
        </row>
        <row r="141">
          <cell r="B141" t="str">
            <v>NP: Acute Care</v>
          </cell>
          <cell r="C141">
            <v>15</v>
          </cell>
          <cell r="D141">
            <v>71</v>
          </cell>
          <cell r="E141">
            <v>1545</v>
          </cell>
          <cell r="F141">
            <v>1160</v>
          </cell>
          <cell r="G141">
            <v>341</v>
          </cell>
          <cell r="H141">
            <v>687</v>
          </cell>
          <cell r="I141">
            <v>1258</v>
          </cell>
        </row>
        <row r="142">
          <cell r="B142" t="str">
            <v>NP: Adult</v>
          </cell>
          <cell r="C142">
            <v>6</v>
          </cell>
          <cell r="D142">
            <v>13</v>
          </cell>
          <cell r="E142">
            <v>2103</v>
          </cell>
          <cell r="F142">
            <v>945</v>
          </cell>
          <cell r="G142">
            <v>1155</v>
          </cell>
          <cell r="H142">
            <v>1635</v>
          </cell>
          <cell r="I142">
            <v>1825</v>
          </cell>
        </row>
        <row r="143">
          <cell r="B143" t="str">
            <v>NP: Cardiology</v>
          </cell>
          <cell r="C143">
            <v>4</v>
          </cell>
          <cell r="D143">
            <v>27</v>
          </cell>
          <cell r="E143">
            <v>1912</v>
          </cell>
          <cell r="F143">
            <v>716</v>
          </cell>
          <cell r="G143">
            <v>936</v>
          </cell>
          <cell r="H143">
            <v>1373</v>
          </cell>
          <cell r="I143">
            <v>1945</v>
          </cell>
        </row>
        <row r="144">
          <cell r="B144" t="str">
            <v>NP: Emergency Medicine</v>
          </cell>
          <cell r="C144">
            <v>2</v>
          </cell>
          <cell r="D144">
            <v>6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 t="str">
            <v>NP: Endocrinology</v>
          </cell>
          <cell r="C145">
            <v>5</v>
          </cell>
          <cell r="D145">
            <v>12</v>
          </cell>
          <cell r="E145">
            <v>3478</v>
          </cell>
          <cell r="F145">
            <v>1538</v>
          </cell>
          <cell r="G145">
            <v>1361</v>
          </cell>
          <cell r="H145">
            <v>1856</v>
          </cell>
          <cell r="I145">
            <v>3693</v>
          </cell>
        </row>
        <row r="146">
          <cell r="B146" t="str">
            <v>NP: Family Medicine (with OB)</v>
          </cell>
          <cell r="C146">
            <v>3</v>
          </cell>
          <cell r="D146">
            <v>7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NP: Family Medicine (without OB)</v>
          </cell>
          <cell r="C147">
            <v>9</v>
          </cell>
          <cell r="D147">
            <v>20</v>
          </cell>
          <cell r="E147">
            <v>2282</v>
          </cell>
          <cell r="F147">
            <v>1163</v>
          </cell>
          <cell r="G147">
            <v>740</v>
          </cell>
          <cell r="H147">
            <v>1415</v>
          </cell>
          <cell r="I147">
            <v>2029</v>
          </cell>
        </row>
        <row r="148">
          <cell r="B148" t="str">
            <v>NP: Gastroenterology</v>
          </cell>
          <cell r="C148">
            <v>6</v>
          </cell>
          <cell r="D148">
            <v>13</v>
          </cell>
          <cell r="E148">
            <v>2196</v>
          </cell>
          <cell r="F148">
            <v>1112</v>
          </cell>
          <cell r="G148">
            <v>1187</v>
          </cell>
          <cell r="H148">
            <v>1420</v>
          </cell>
          <cell r="I148">
            <v>1678</v>
          </cell>
        </row>
        <row r="149">
          <cell r="B149" t="str">
            <v>NP: Gerontology/Elder Health</v>
          </cell>
          <cell r="C149">
            <v>6</v>
          </cell>
          <cell r="D149">
            <v>13</v>
          </cell>
          <cell r="E149">
            <v>1583</v>
          </cell>
          <cell r="F149">
            <v>1119</v>
          </cell>
          <cell r="G149">
            <v>563</v>
          </cell>
          <cell r="H149">
            <v>744</v>
          </cell>
          <cell r="I149">
            <v>1150</v>
          </cell>
        </row>
        <row r="150">
          <cell r="B150" t="str">
            <v>NP: Hematology/Oncology</v>
          </cell>
          <cell r="C150">
            <v>8</v>
          </cell>
          <cell r="D150">
            <v>57</v>
          </cell>
          <cell r="E150">
            <v>1289</v>
          </cell>
          <cell r="F150">
            <v>901</v>
          </cell>
          <cell r="G150">
            <v>299</v>
          </cell>
          <cell r="H150">
            <v>568</v>
          </cell>
          <cell r="I150">
            <v>1074</v>
          </cell>
        </row>
        <row r="151">
          <cell r="B151" t="str">
            <v>NP: Hospitalist</v>
          </cell>
          <cell r="C151">
            <v>2</v>
          </cell>
          <cell r="D151">
            <v>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 t="str">
            <v>NP: Internal Medicine</v>
          </cell>
          <cell r="C152">
            <v>6</v>
          </cell>
          <cell r="D152">
            <v>17</v>
          </cell>
          <cell r="E152">
            <v>1871</v>
          </cell>
          <cell r="F152">
            <v>1340</v>
          </cell>
          <cell r="G152">
            <v>507</v>
          </cell>
          <cell r="H152">
            <v>656</v>
          </cell>
          <cell r="I152">
            <v>1364</v>
          </cell>
        </row>
        <row r="153">
          <cell r="B153" t="str">
            <v>NP: Neonatal/Perinatal</v>
          </cell>
          <cell r="C153">
            <v>4</v>
          </cell>
          <cell r="D153">
            <v>16</v>
          </cell>
          <cell r="E153">
            <v>384</v>
          </cell>
          <cell r="F153">
            <v>129</v>
          </cell>
          <cell r="G153">
            <v>200</v>
          </cell>
          <cell r="H153">
            <v>287</v>
          </cell>
          <cell r="I153">
            <v>424</v>
          </cell>
        </row>
        <row r="154">
          <cell r="B154" t="str">
            <v>NP: Neurology</v>
          </cell>
          <cell r="C154">
            <v>8</v>
          </cell>
          <cell r="D154">
            <v>24</v>
          </cell>
          <cell r="E154">
            <v>1817</v>
          </cell>
          <cell r="F154">
            <v>752</v>
          </cell>
          <cell r="G154">
            <v>1117</v>
          </cell>
          <cell r="H154">
            <v>1309</v>
          </cell>
          <cell r="I154">
            <v>1639</v>
          </cell>
        </row>
        <row r="155">
          <cell r="B155" t="str">
            <v>NP: Neurosurgery</v>
          </cell>
          <cell r="C155">
            <v>2</v>
          </cell>
          <cell r="D155">
            <v>9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 t="str">
            <v>NP: Pediatric/Child Health</v>
          </cell>
          <cell r="C156">
            <v>6</v>
          </cell>
          <cell r="D156">
            <v>51</v>
          </cell>
          <cell r="E156">
            <v>1670</v>
          </cell>
          <cell r="F156">
            <v>840</v>
          </cell>
          <cell r="G156">
            <v>463</v>
          </cell>
          <cell r="H156">
            <v>957</v>
          </cell>
          <cell r="I156">
            <v>1684</v>
          </cell>
        </row>
        <row r="157">
          <cell r="B157" t="str">
            <v>NP: Psychiatry</v>
          </cell>
          <cell r="C157">
            <v>4</v>
          </cell>
          <cell r="D157">
            <v>12</v>
          </cell>
          <cell r="E157">
            <v>2375</v>
          </cell>
          <cell r="F157">
            <v>1137</v>
          </cell>
          <cell r="G157">
            <v>430</v>
          </cell>
          <cell r="H157">
            <v>1435</v>
          </cell>
          <cell r="I157">
            <v>2675</v>
          </cell>
        </row>
        <row r="158">
          <cell r="B158" t="str">
            <v>NP: OB/GYN/Women's Health</v>
          </cell>
          <cell r="C158">
            <v>3</v>
          </cell>
          <cell r="D158">
            <v>14</v>
          </cell>
          <cell r="E158">
            <v>3250</v>
          </cell>
          <cell r="F158">
            <v>998</v>
          </cell>
          <cell r="G158">
            <v>1568</v>
          </cell>
          <cell r="H158">
            <v>2503</v>
          </cell>
          <cell r="I158">
            <v>3325</v>
          </cell>
        </row>
        <row r="159">
          <cell r="B159" t="str">
            <v>NP: Orthopedics</v>
          </cell>
          <cell r="C159">
            <v>1</v>
          </cell>
          <cell r="D159">
            <v>1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 t="str">
            <v>NP: Pulmonary Medicine</v>
          </cell>
          <cell r="C160">
            <v>5</v>
          </cell>
          <cell r="D160">
            <v>12</v>
          </cell>
          <cell r="E160">
            <v>1467</v>
          </cell>
          <cell r="F160">
            <v>1052</v>
          </cell>
          <cell r="G160">
            <v>295</v>
          </cell>
          <cell r="H160">
            <v>564</v>
          </cell>
          <cell r="I160">
            <v>1257</v>
          </cell>
        </row>
        <row r="161">
          <cell r="B161" t="str">
            <v>Nurse Practitioner (Surgical)</v>
          </cell>
          <cell r="C161">
            <v>9</v>
          </cell>
          <cell r="D161">
            <v>20</v>
          </cell>
          <cell r="E161">
            <v>1709</v>
          </cell>
          <cell r="F161">
            <v>1127</v>
          </cell>
          <cell r="G161">
            <v>457</v>
          </cell>
          <cell r="H161">
            <v>720</v>
          </cell>
          <cell r="I161">
            <v>1453</v>
          </cell>
        </row>
        <row r="162">
          <cell r="B162" t="str">
            <v>Nurse Practitioner (Primary Care)</v>
          </cell>
          <cell r="C162">
            <v>5</v>
          </cell>
          <cell r="D162">
            <v>33</v>
          </cell>
          <cell r="E162">
            <v>1893</v>
          </cell>
          <cell r="F162">
            <v>1119</v>
          </cell>
          <cell r="G162">
            <v>730</v>
          </cell>
          <cell r="H162">
            <v>943</v>
          </cell>
          <cell r="I162">
            <v>1546</v>
          </cell>
        </row>
        <row r="163">
          <cell r="B163" t="str">
            <v>Nurse Practitioner (Nonsurgical/Nonprimary Care)</v>
          </cell>
          <cell r="C163">
            <v>13</v>
          </cell>
          <cell r="D163">
            <v>38</v>
          </cell>
          <cell r="E163">
            <v>2069</v>
          </cell>
          <cell r="F163">
            <v>769</v>
          </cell>
          <cell r="G163">
            <v>1191</v>
          </cell>
          <cell r="H163">
            <v>1442</v>
          </cell>
          <cell r="I163">
            <v>2061</v>
          </cell>
        </row>
        <row r="164">
          <cell r="B164" t="str">
            <v>Occupational Therapist</v>
          </cell>
          <cell r="C164">
            <v>1</v>
          </cell>
          <cell r="D164">
            <v>2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B165" t="str">
            <v>Optometrist</v>
          </cell>
          <cell r="C165">
            <v>7</v>
          </cell>
          <cell r="D165">
            <v>18</v>
          </cell>
          <cell r="E165">
            <v>2935</v>
          </cell>
          <cell r="F165">
            <v>1121</v>
          </cell>
          <cell r="G165">
            <v>1592</v>
          </cell>
          <cell r="H165">
            <v>1690</v>
          </cell>
          <cell r="I165">
            <v>2764</v>
          </cell>
        </row>
        <row r="166">
          <cell r="B166" t="str">
            <v>PhD</v>
          </cell>
          <cell r="C166">
            <v>2</v>
          </cell>
          <cell r="D166">
            <v>6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 t="str">
            <v>Physical Therapist</v>
          </cell>
          <cell r="C167">
            <v>1</v>
          </cell>
          <cell r="D167">
            <v>4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 t="str">
            <v>Physician Assistant (Surgical)</v>
          </cell>
          <cell r="C168">
            <v>6</v>
          </cell>
          <cell r="D168">
            <v>25</v>
          </cell>
          <cell r="E168">
            <v>935</v>
          </cell>
          <cell r="F168">
            <v>1016</v>
          </cell>
          <cell r="G168">
            <v>206</v>
          </cell>
          <cell r="H168">
            <v>258</v>
          </cell>
          <cell r="I168">
            <v>480</v>
          </cell>
        </row>
        <row r="169">
          <cell r="B169" t="str">
            <v>PA: Orthopedic (Surgical)</v>
          </cell>
          <cell r="C169">
            <v>3</v>
          </cell>
          <cell r="D169">
            <v>19</v>
          </cell>
          <cell r="E169">
            <v>2140</v>
          </cell>
          <cell r="F169">
            <v>921</v>
          </cell>
          <cell r="G169">
            <v>1104</v>
          </cell>
          <cell r="H169">
            <v>1296</v>
          </cell>
          <cell r="I169">
            <v>1731</v>
          </cell>
        </row>
        <row r="170">
          <cell r="B170" t="str">
            <v>PA: Surgery: General</v>
          </cell>
          <cell r="C170">
            <v>1</v>
          </cell>
          <cell r="D170">
            <v>6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 t="str">
            <v>PA: Cardiothoracic Surgery</v>
          </cell>
          <cell r="C171">
            <v>5</v>
          </cell>
          <cell r="D171">
            <v>10</v>
          </cell>
          <cell r="E171">
            <v>343</v>
          </cell>
          <cell r="F171">
            <v>226</v>
          </cell>
          <cell r="G171">
            <v>106</v>
          </cell>
          <cell r="H171">
            <v>149</v>
          </cell>
          <cell r="I171">
            <v>322</v>
          </cell>
        </row>
        <row r="172">
          <cell r="B172" t="str">
            <v>PA: Neurosurgery</v>
          </cell>
          <cell r="C172">
            <v>3</v>
          </cell>
          <cell r="D172">
            <v>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 t="str">
            <v>Physician Assistant (Primary Care)</v>
          </cell>
          <cell r="C173">
            <v>7</v>
          </cell>
          <cell r="D173">
            <v>9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 t="str">
            <v>PA: Family Medicine (with OB)</v>
          </cell>
          <cell r="C174">
            <v>4</v>
          </cell>
          <cell r="D174">
            <v>7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 t="str">
            <v>PA: Family Medicine (without OB)</v>
          </cell>
          <cell r="C175">
            <v>5</v>
          </cell>
          <cell r="D175">
            <v>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 t="str">
            <v>PA: Internal Medicine</v>
          </cell>
          <cell r="C176">
            <v>3</v>
          </cell>
          <cell r="D176">
            <v>13</v>
          </cell>
          <cell r="E176">
            <v>978</v>
          </cell>
          <cell r="F176">
            <v>723</v>
          </cell>
          <cell r="G176">
            <v>133</v>
          </cell>
          <cell r="H176">
            <v>491</v>
          </cell>
          <cell r="I176">
            <v>746</v>
          </cell>
        </row>
        <row r="177">
          <cell r="B177" t="str">
            <v>PA: Pediatric</v>
          </cell>
          <cell r="C177">
            <v>1</v>
          </cell>
          <cell r="D177">
            <v>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 t="str">
            <v>PA: OB/GYN/Women's Health</v>
          </cell>
          <cell r="C178">
            <v>2</v>
          </cell>
          <cell r="D178">
            <v>2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 t="str">
            <v>Physician Assistant (Nonsurgical/Nonprimary Care)</v>
          </cell>
          <cell r="C179">
            <v>10</v>
          </cell>
          <cell r="D179">
            <v>29</v>
          </cell>
          <cell r="E179">
            <v>1790</v>
          </cell>
          <cell r="F179">
            <v>1020</v>
          </cell>
          <cell r="G179">
            <v>582</v>
          </cell>
          <cell r="H179">
            <v>895</v>
          </cell>
          <cell r="I179">
            <v>1794</v>
          </cell>
        </row>
        <row r="180">
          <cell r="B180" t="str">
            <v>PA: Dermatology</v>
          </cell>
          <cell r="C180">
            <v>1</v>
          </cell>
          <cell r="D180">
            <v>4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 t="str">
            <v>PA: Emergency Medicine</v>
          </cell>
          <cell r="C181">
            <v>2</v>
          </cell>
          <cell r="D181">
            <v>25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 t="str">
            <v>PA: Gastroenterology</v>
          </cell>
          <cell r="C182">
            <v>3</v>
          </cell>
          <cell r="D182">
            <v>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 t="str">
            <v>PA: Neurology</v>
          </cell>
          <cell r="C183">
            <v>3</v>
          </cell>
          <cell r="D183">
            <v>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 t="str">
            <v>PA: Orthopedic (Nonsurgical/Nonprimary Care)</v>
          </cell>
          <cell r="C184">
            <v>2</v>
          </cell>
          <cell r="D184">
            <v>4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B185" t="str">
            <v>PA: Pulmonary Medicine</v>
          </cell>
          <cell r="C185">
            <v>1</v>
          </cell>
          <cell r="D185">
            <v>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B186" t="str">
            <v>PA: Urgent Care (Nonsurgical/Nonprimary Care)</v>
          </cell>
          <cell r="C186">
            <v>1</v>
          </cell>
          <cell r="D186">
            <v>1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 t="str">
            <v>Psychologist</v>
          </cell>
          <cell r="C187">
            <v>30</v>
          </cell>
          <cell r="D187">
            <v>120</v>
          </cell>
          <cell r="E187">
            <v>2574</v>
          </cell>
          <cell r="F187">
            <v>1123</v>
          </cell>
          <cell r="G187">
            <v>1163</v>
          </cell>
          <cell r="H187">
            <v>1804</v>
          </cell>
          <cell r="I187">
            <v>2489</v>
          </cell>
        </row>
      </sheetData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rdner, Lauren S" id="{7F6E7FE8-EAD7-48EC-8C8C-E14F4389A0BC}" userId="S::lsolana@ad.unc.edu::72782f01-7aee-4ad0-ad66-a20f4b4d38d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20-05-18T16:10:14.10" personId="{7F6E7FE8-EAD7-48EC-8C8C-E14F4389A0BC}" id="{A0A07BAA-71E8-4111-9B9C-8D26003BD8C4}">
    <text>Provide any additional comments in this box.  Brevity is appreciated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B1"/>
    </sheetView>
  </sheetViews>
  <sheetFormatPr defaultRowHeight="12.75"/>
  <cols>
    <col min="1" max="1" width="19.42578125" bestFit="1" customWidth="1"/>
    <col min="2" max="2" width="61.7109375" customWidth="1"/>
    <col min="3" max="3" width="16.140625" customWidth="1"/>
    <col min="4" max="4" width="12.28515625" bestFit="1" customWidth="1"/>
    <col min="5" max="9" width="10" bestFit="1" customWidth="1"/>
  </cols>
  <sheetData>
    <row r="1" spans="1:9" ht="15.75">
      <c r="A1" s="263" t="s">
        <v>24</v>
      </c>
      <c r="B1" s="263"/>
    </row>
    <row r="2" spans="1:9" ht="15.75">
      <c r="A2" s="107" t="s">
        <v>190</v>
      </c>
      <c r="B2" s="108" t="str">
        <f>INDEX(Lists!$H:$H,MATCH(A2,Lists!$G:$G,0))</f>
        <v>Department</v>
      </c>
    </row>
    <row r="4" spans="1:9">
      <c r="B4" s="110" t="s">
        <v>339</v>
      </c>
    </row>
    <row r="5" spans="1:9" ht="12.4" customHeight="1">
      <c r="B5" s="264" t="s">
        <v>381</v>
      </c>
      <c r="C5" s="39"/>
      <c r="D5" s="112" t="s">
        <v>349</v>
      </c>
      <c r="E5" s="112" t="s">
        <v>341</v>
      </c>
      <c r="F5" s="112" t="s">
        <v>342</v>
      </c>
      <c r="G5" s="112" t="s">
        <v>343</v>
      </c>
      <c r="H5" s="112" t="s">
        <v>344</v>
      </c>
      <c r="I5" s="112" t="s">
        <v>345</v>
      </c>
    </row>
    <row r="6" spans="1:9">
      <c r="B6" s="265"/>
      <c r="C6" s="111" t="s">
        <v>346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</row>
    <row r="7" spans="1:9">
      <c r="B7" s="265"/>
      <c r="C7" s="111" t="s">
        <v>347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</row>
    <row r="8" spans="1:9" ht="25.5">
      <c r="B8" s="113" t="s">
        <v>351</v>
      </c>
      <c r="C8" s="109"/>
    </row>
    <row r="9" spans="1:9">
      <c r="B9" s="113"/>
    </row>
    <row r="10" spans="1:9">
      <c r="B10" s="114" t="s">
        <v>340</v>
      </c>
      <c r="C10" s="39"/>
    </row>
    <row r="11" spans="1:9" ht="25.5">
      <c r="B11" s="113" t="s">
        <v>350</v>
      </c>
      <c r="C11" s="109"/>
    </row>
    <row r="12" spans="1:9" ht="25.5">
      <c r="B12" s="115" t="s">
        <v>348</v>
      </c>
      <c r="C12" s="118"/>
      <c r="D12" s="119"/>
      <c r="E12" s="119"/>
      <c r="F12" s="119"/>
      <c r="G12" s="119"/>
      <c r="H12" s="119"/>
      <c r="I12" s="119"/>
    </row>
    <row r="13" spans="1:9" ht="25.5">
      <c r="B13" s="113" t="s">
        <v>338</v>
      </c>
      <c r="C13" s="266"/>
      <c r="D13" s="266"/>
      <c r="E13" s="266"/>
      <c r="F13" s="266"/>
      <c r="G13" s="266"/>
      <c r="H13" s="266"/>
      <c r="I13" s="266"/>
    </row>
    <row r="14" spans="1:9">
      <c r="C14" s="266"/>
      <c r="D14" s="266"/>
      <c r="E14" s="266"/>
      <c r="F14" s="266"/>
      <c r="G14" s="266"/>
      <c r="H14" s="266"/>
      <c r="I14" s="266"/>
    </row>
    <row r="15" spans="1:9">
      <c r="C15" s="266"/>
      <c r="D15" s="266"/>
      <c r="E15" s="266"/>
      <c r="F15" s="266"/>
      <c r="G15" s="266"/>
      <c r="H15" s="266"/>
      <c r="I15" s="266"/>
    </row>
    <row r="16" spans="1:9">
      <c r="C16" s="266"/>
      <c r="D16" s="266"/>
      <c r="E16" s="266"/>
      <c r="F16" s="266"/>
      <c r="G16" s="266"/>
      <c r="H16" s="266"/>
      <c r="I16" s="266"/>
    </row>
    <row r="17" spans="2:9">
      <c r="C17" s="266"/>
      <c r="D17" s="266"/>
      <c r="E17" s="266"/>
      <c r="F17" s="266"/>
      <c r="G17" s="266"/>
      <c r="H17" s="266"/>
      <c r="I17" s="266"/>
    </row>
    <row r="18" spans="2:9">
      <c r="C18" s="266"/>
      <c r="D18" s="266"/>
      <c r="E18" s="266"/>
      <c r="F18" s="266"/>
      <c r="G18" s="266"/>
      <c r="H18" s="266"/>
      <c r="I18" s="266"/>
    </row>
    <row r="19" spans="2:9">
      <c r="B19" t="s">
        <v>382</v>
      </c>
      <c r="C19" s="243"/>
      <c r="D19" t="s">
        <v>393</v>
      </c>
    </row>
    <row r="20" spans="2:9">
      <c r="B20" t="s">
        <v>388</v>
      </c>
      <c r="C20" s="243"/>
      <c r="D20" t="s">
        <v>393</v>
      </c>
    </row>
    <row r="21" spans="2:9">
      <c r="B21" s="111" t="s">
        <v>384</v>
      </c>
      <c r="C21" s="243"/>
      <c r="D21" t="s">
        <v>393</v>
      </c>
    </row>
    <row r="22" spans="2:9">
      <c r="B22" s="111" t="s">
        <v>385</v>
      </c>
      <c r="C22" s="243"/>
      <c r="D22" t="s">
        <v>393</v>
      </c>
    </row>
    <row r="23" spans="2:9">
      <c r="B23" s="111" t="s">
        <v>395</v>
      </c>
      <c r="C23" s="266"/>
      <c r="D23" s="266"/>
      <c r="E23" s="266"/>
    </row>
    <row r="24" spans="2:9">
      <c r="C24" s="266"/>
      <c r="D24" s="266"/>
      <c r="E24" s="266"/>
    </row>
    <row r="25" spans="2:9">
      <c r="C25" s="266"/>
      <c r="D25" s="266"/>
      <c r="E25" s="266"/>
    </row>
    <row r="26" spans="2:9" ht="13.5" thickBot="1"/>
    <row r="27" spans="2:9">
      <c r="B27" s="246" t="s">
        <v>422</v>
      </c>
      <c r="C27" s="247"/>
      <c r="D27" s="247"/>
      <c r="E27" s="247"/>
      <c r="F27" s="247"/>
      <c r="G27" s="247"/>
      <c r="H27" s="247"/>
      <c r="I27" s="248"/>
    </row>
    <row r="28" spans="2:9" ht="102">
      <c r="B28" s="249" t="s">
        <v>396</v>
      </c>
      <c r="C28" s="250"/>
      <c r="D28" s="250"/>
      <c r="E28" s="250"/>
      <c r="F28" s="250"/>
      <c r="G28" s="250"/>
      <c r="H28" s="250"/>
      <c r="I28" s="251"/>
    </row>
    <row r="29" spans="2:9">
      <c r="B29" s="252"/>
      <c r="C29" s="250"/>
      <c r="D29" s="253" t="s">
        <v>349</v>
      </c>
      <c r="E29" s="253" t="s">
        <v>341</v>
      </c>
      <c r="F29" s="253" t="s">
        <v>342</v>
      </c>
      <c r="G29" s="253" t="s">
        <v>343</v>
      </c>
      <c r="H29" s="253" t="s">
        <v>344</v>
      </c>
      <c r="I29" s="254" t="s">
        <v>345</v>
      </c>
    </row>
    <row r="30" spans="2:9">
      <c r="B30" s="252"/>
      <c r="C30" s="255" t="s">
        <v>346</v>
      </c>
      <c r="D30" s="256">
        <v>0.7</v>
      </c>
      <c r="E30" s="256">
        <v>0.75</v>
      </c>
      <c r="F30" s="256">
        <v>0.75</v>
      </c>
      <c r="G30" s="256">
        <v>0.79</v>
      </c>
      <c r="H30" s="256">
        <v>0.84</v>
      </c>
      <c r="I30" s="257">
        <v>0.84</v>
      </c>
    </row>
    <row r="31" spans="2:9">
      <c r="B31" s="252"/>
      <c r="C31" s="255" t="s">
        <v>347</v>
      </c>
      <c r="D31" s="258">
        <v>1991</v>
      </c>
      <c r="E31" s="258">
        <v>2126</v>
      </c>
      <c r="F31" s="258">
        <v>2126</v>
      </c>
      <c r="G31" s="258">
        <v>2261</v>
      </c>
      <c r="H31" s="258">
        <v>2396</v>
      </c>
      <c r="I31" s="259">
        <v>2396</v>
      </c>
    </row>
    <row r="32" spans="2:9" ht="13.5" thickBot="1">
      <c r="B32" s="260"/>
      <c r="C32" s="261"/>
      <c r="D32" s="261"/>
      <c r="E32" s="261"/>
      <c r="F32" s="261"/>
      <c r="G32" s="261"/>
      <c r="H32" s="261"/>
      <c r="I32" s="262"/>
    </row>
  </sheetData>
  <mergeCells count="4">
    <mergeCell ref="A1:B1"/>
    <mergeCell ref="B5:B7"/>
    <mergeCell ref="C13:I18"/>
    <mergeCell ref="C23:E25"/>
  </mergeCells>
  <phoneticPr fontId="99" type="noConversion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>
          <x14:formula1>
            <xm:f>Lists!$G$3:$G$22</xm:f>
          </x14:formula1>
          <xm:sqref>A2</xm:sqref>
        </x14:dataValidation>
        <x14:dataValidation type="list" allowBlank="1" showInputMessage="1" showErrorMessage="1">
          <x14:formula1>
            <xm:f>Lists!$K$4:$K$5</xm:f>
          </x14:formula1>
          <xm:sqref>C19</xm:sqref>
        </x14:dataValidation>
        <x14:dataValidation type="list" allowBlank="1" showInputMessage="1" showErrorMessage="1">
          <x14:formula1>
            <xm:f>Lists!$G$27:$G$30</xm:f>
          </x14:formula1>
          <xm:sqref>C20</xm:sqref>
        </x14:dataValidation>
        <x14:dataValidation type="list" allowBlank="1" showInputMessage="1" showErrorMessage="1">
          <x14:formula1>
            <xm:f>Lists!$I$27:$I$31</xm:f>
          </x14:formula1>
          <xm:sqref>C21</xm:sqref>
        </x14:dataValidation>
        <x14:dataValidation type="list" allowBlank="1" showInputMessage="1" showErrorMessage="1">
          <x14:formula1>
            <xm:f>Lists!$G$34:$G$38</xm:f>
          </x14:formula1>
          <xm:sqref>C22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328"/>
  <sheetViews>
    <sheetView zoomScaleNormal="100" workbookViewId="0">
      <selection sqref="A1:B1"/>
    </sheetView>
  </sheetViews>
  <sheetFormatPr defaultColWidth="9.28515625" defaultRowHeight="14.25" customHeight="1"/>
  <cols>
    <col min="1" max="1" width="19" style="171" customWidth="1"/>
    <col min="2" max="2" width="51.85546875" style="170" customWidth="1"/>
    <col min="3" max="3" width="14.42578125" style="170" customWidth="1"/>
    <col min="4" max="4" width="1.42578125" style="170" customWidth="1"/>
    <col min="5" max="5" width="31.5703125" style="170" bestFit="1" customWidth="1"/>
    <col min="6" max="6" width="11.28515625" style="170" customWidth="1"/>
    <col min="7" max="7" width="1.7109375" style="170" customWidth="1"/>
    <col min="8" max="8" width="23" style="170" bestFit="1" customWidth="1"/>
    <col min="9" max="9" width="11.42578125" style="170" customWidth="1"/>
    <col min="10" max="10" width="1.5703125" style="170" customWidth="1"/>
    <col min="11" max="11" width="31.5703125" style="170" customWidth="1"/>
    <col min="12" max="12" width="14.42578125" style="170" customWidth="1"/>
    <col min="13" max="13" width="4.7109375" style="170" customWidth="1"/>
    <col min="14" max="14" width="7.42578125" style="170" customWidth="1"/>
    <col min="15" max="15" width="84.5703125" style="172" bestFit="1" customWidth="1"/>
    <col min="16" max="47" width="9.28515625" style="172"/>
    <col min="48" max="16384" width="9.28515625" style="170"/>
  </cols>
  <sheetData>
    <row r="1" spans="1:47" s="126" customFormat="1" ht="15.75" customHeight="1">
      <c r="A1" s="268" t="s">
        <v>24</v>
      </c>
      <c r="B1" s="268"/>
      <c r="D1" s="127"/>
      <c r="E1" s="127"/>
      <c r="F1" s="127"/>
      <c r="G1" s="127"/>
      <c r="H1" s="127"/>
      <c r="I1" s="127"/>
      <c r="J1" s="127"/>
      <c r="K1" s="11"/>
      <c r="L1" s="11"/>
      <c r="M1" s="12" t="s">
        <v>22</v>
      </c>
      <c r="N1" s="12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</row>
    <row r="2" spans="1:47" s="126" customFormat="1" ht="15.75" customHeight="1">
      <c r="A2" s="125" t="s">
        <v>228</v>
      </c>
      <c r="B2" s="125"/>
      <c r="D2" s="130"/>
      <c r="E2" s="130"/>
      <c r="F2" s="130"/>
      <c r="G2" s="130"/>
      <c r="H2" s="130"/>
      <c r="I2" s="130"/>
      <c r="J2" s="130"/>
      <c r="K2" s="130"/>
      <c r="L2" s="130"/>
      <c r="M2" s="12" t="s">
        <v>23</v>
      </c>
      <c r="N2" s="128"/>
      <c r="O2" s="131" t="s">
        <v>19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</row>
    <row r="3" spans="1:47" s="126" customFormat="1" ht="15.75" customHeight="1">
      <c r="A3" s="132" t="s">
        <v>190</v>
      </c>
      <c r="B3" s="133" t="str">
        <f>INDEX(Lists!$H:$H,MATCH(Proforma!A3,Lists!$G:$G,0))</f>
        <v>Department</v>
      </c>
      <c r="D3" s="130"/>
      <c r="E3" s="130"/>
      <c r="F3" s="130"/>
      <c r="G3" s="130"/>
      <c r="H3" s="130"/>
      <c r="I3" s="130"/>
      <c r="J3" s="130"/>
      <c r="K3" s="130"/>
      <c r="M3" s="134" t="s">
        <v>352</v>
      </c>
      <c r="N3" s="128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</row>
    <row r="4" spans="1:47" s="126" customFormat="1" ht="15.75" customHeight="1">
      <c r="A4" s="125"/>
      <c r="B4" s="133"/>
      <c r="D4" s="130"/>
      <c r="E4" s="130"/>
      <c r="F4" s="130"/>
      <c r="G4" s="130"/>
      <c r="H4" s="130"/>
      <c r="I4" s="130"/>
      <c r="J4" s="130"/>
      <c r="K4" s="130"/>
      <c r="L4" s="130"/>
      <c r="M4" s="134" t="s">
        <v>301</v>
      </c>
      <c r="N4" s="195" t="str">
        <f>INDEX('FY23 Rates'!$H:$H,MATCH(Proforma!A6,'FY23 Rates'!$A:$A,0))</f>
        <v>-</v>
      </c>
      <c r="O4" s="135" t="s">
        <v>272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</row>
    <row r="5" spans="1:47" s="126" customFormat="1" ht="15.75" customHeight="1">
      <c r="A5" s="125"/>
      <c r="B5" s="125"/>
      <c r="D5" s="130"/>
      <c r="E5" s="130"/>
      <c r="F5" s="130"/>
      <c r="G5" s="130"/>
      <c r="H5" s="130"/>
      <c r="I5" s="130"/>
      <c r="J5" s="130"/>
      <c r="K5" s="130"/>
      <c r="L5" s="130"/>
      <c r="M5" s="134" t="s">
        <v>302</v>
      </c>
      <c r="N5" s="195" t="str">
        <f>INDEX('FY23 Rates'!$O:$O,MATCH(Proforma!A6,'FY23 Rates'!$A:$A,0))</f>
        <v>-</v>
      </c>
      <c r="O5" s="135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</row>
    <row r="6" spans="1:47" s="138" customFormat="1" ht="18.75" customHeight="1">
      <c r="A6" s="269" t="s">
        <v>269</v>
      </c>
      <c r="B6" s="270"/>
      <c r="C6" s="270"/>
      <c r="D6" s="270"/>
      <c r="E6" s="271"/>
      <c r="F6" s="271"/>
      <c r="G6" s="271"/>
      <c r="H6" s="271"/>
      <c r="I6" s="271"/>
      <c r="J6" s="270"/>
      <c r="K6" s="270"/>
      <c r="L6" s="270"/>
      <c r="M6" s="270"/>
      <c r="N6" s="272"/>
      <c r="O6" s="136" t="s">
        <v>273</v>
      </c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</row>
    <row r="7" spans="1:47" s="138" customFormat="1" ht="6.75" customHeight="1">
      <c r="A7" s="139"/>
      <c r="O7" s="140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</row>
    <row r="8" spans="1:47" s="138" customFormat="1" ht="6.75" customHeight="1" thickBot="1">
      <c r="A8" s="139"/>
      <c r="O8" s="140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</row>
    <row r="9" spans="1:47" s="138" customFormat="1" ht="25.5">
      <c r="A9" s="139"/>
      <c r="B9" s="141" t="s">
        <v>201</v>
      </c>
      <c r="C9" s="142"/>
      <c r="E9" s="141" t="s">
        <v>203</v>
      </c>
      <c r="F9" s="143"/>
      <c r="H9" s="144" t="s">
        <v>380</v>
      </c>
      <c r="I9" s="123">
        <f>SUM(F9:F13)</f>
        <v>0</v>
      </c>
      <c r="K9" s="141" t="s">
        <v>275</v>
      </c>
      <c r="L9" s="143" t="s">
        <v>197</v>
      </c>
      <c r="O9" s="140" t="s">
        <v>279</v>
      </c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</row>
    <row r="10" spans="1:47" s="138" customFormat="1" ht="38.25">
      <c r="A10" s="139"/>
      <c r="B10" s="145" t="s">
        <v>317</v>
      </c>
      <c r="C10" s="146"/>
      <c r="E10" s="147" t="s">
        <v>0</v>
      </c>
      <c r="F10" s="146"/>
      <c r="H10" s="148" t="s">
        <v>333</v>
      </c>
      <c r="I10" s="124">
        <f>I9-SUM(I11:I15)</f>
        <v>0</v>
      </c>
      <c r="K10" s="145" t="s">
        <v>276</v>
      </c>
      <c r="L10" s="149"/>
      <c r="O10" s="150" t="s">
        <v>293</v>
      </c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</row>
    <row r="11" spans="1:47" s="138" customFormat="1" ht="12.75">
      <c r="A11" s="139"/>
      <c r="B11" s="145" t="s">
        <v>318</v>
      </c>
      <c r="C11" s="146"/>
      <c r="E11" s="147" t="s">
        <v>204</v>
      </c>
      <c r="F11" s="146"/>
      <c r="H11" s="145" t="s">
        <v>370</v>
      </c>
      <c r="I11" s="124">
        <f>IF(SUM(F9+F10)&gt;Lists!$M$11,(Lists!M11*Proforma!N3)+((Lists!$M$11*Proforma!$N$3)*Lists!M17),((Proforma!$F$9+Proforma!$F$10)*Proforma!$N$3)+(((Proforma!$F$9+Proforma!$F$10)*Proforma!$N$3)*Lists!$M$17))</f>
        <v>0</v>
      </c>
      <c r="K11" s="145" t="s">
        <v>296</v>
      </c>
      <c r="L11" s="151"/>
      <c r="O11" s="150" t="s">
        <v>295</v>
      </c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</row>
    <row r="12" spans="1:47" s="138" customFormat="1" ht="12.75">
      <c r="A12" s="139"/>
      <c r="B12" s="145" t="s">
        <v>319</v>
      </c>
      <c r="C12" s="146"/>
      <c r="E12" s="147" t="s">
        <v>229</v>
      </c>
      <c r="F12" s="146"/>
      <c r="H12" s="145" t="s">
        <v>371</v>
      </c>
      <c r="I12" s="124">
        <f>IF(SUM($F$9+$F$10)&gt;Lists!$M$11,((Proforma!$F$9+Proforma!$F$10-Lists!$M$11)*Proforma!$N$3)+(((Proforma!$F$9+Proforma!$F$10-Lists!$M$11)*Proforma!$N$3)*Lists!M17),0)</f>
        <v>0</v>
      </c>
      <c r="K12" s="147" t="s">
        <v>193</v>
      </c>
      <c r="L12" s="149"/>
      <c r="O12" s="140" t="s">
        <v>194</v>
      </c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</row>
    <row r="13" spans="1:47" s="138" customFormat="1" ht="12.75">
      <c r="A13" s="139"/>
      <c r="B13" s="145" t="s">
        <v>320</v>
      </c>
      <c r="C13" s="146"/>
      <c r="E13" s="152" t="s">
        <v>326</v>
      </c>
      <c r="F13" s="122">
        <f>(SUM(F9:F12))*L38</f>
        <v>0</v>
      </c>
      <c r="H13" s="145" t="s">
        <v>372</v>
      </c>
      <c r="I13" s="52">
        <v>0</v>
      </c>
      <c r="K13" s="145" t="s">
        <v>277</v>
      </c>
      <c r="L13" s="153"/>
      <c r="O13" s="150" t="s">
        <v>278</v>
      </c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</row>
    <row r="14" spans="1:47" s="138" customFormat="1" ht="25.5">
      <c r="A14" s="139"/>
      <c r="B14" s="145" t="s">
        <v>335</v>
      </c>
      <c r="C14" s="146"/>
      <c r="E14" s="147" t="s">
        <v>202</v>
      </c>
      <c r="F14" s="149"/>
      <c r="H14" s="147" t="s">
        <v>364</v>
      </c>
      <c r="I14" s="52">
        <v>0</v>
      </c>
      <c r="K14" s="154" t="s">
        <v>366</v>
      </c>
      <c r="L14" s="52"/>
      <c r="O14" s="150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</row>
    <row r="15" spans="1:47" s="138" customFormat="1" ht="39" thickBot="1">
      <c r="A15" s="139"/>
      <c r="B15" s="147" t="s">
        <v>216</v>
      </c>
      <c r="C15" s="146"/>
      <c r="E15" s="145" t="s">
        <v>232</v>
      </c>
      <c r="F15" s="151"/>
      <c r="H15" s="155" t="s">
        <v>365</v>
      </c>
      <c r="I15" s="53">
        <v>0</v>
      </c>
      <c r="K15" s="154" t="s">
        <v>367</v>
      </c>
      <c r="L15" s="52"/>
      <c r="O15" s="150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</row>
    <row r="16" spans="1:47" s="138" customFormat="1" ht="12.75">
      <c r="A16" s="156"/>
      <c r="B16" s="147" t="s">
        <v>334</v>
      </c>
      <c r="C16" s="149"/>
      <c r="E16" s="147" t="s">
        <v>298</v>
      </c>
      <c r="F16" s="146"/>
      <c r="H16" s="157"/>
      <c r="I16" s="157"/>
      <c r="K16" s="145" t="s">
        <v>368</v>
      </c>
      <c r="L16" s="52"/>
      <c r="O16" s="150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</row>
    <row r="17" spans="1:47" s="138" customFormat="1" ht="13.5" thickBot="1">
      <c r="A17" s="158"/>
      <c r="B17" s="145" t="s">
        <v>321</v>
      </c>
      <c r="C17" s="146"/>
      <c r="D17" s="159"/>
      <c r="E17" s="147" t="s">
        <v>358</v>
      </c>
      <c r="F17" s="146"/>
      <c r="G17" s="159"/>
      <c r="H17" s="157"/>
      <c r="I17" s="157"/>
      <c r="J17" s="159"/>
      <c r="K17" s="160" t="s">
        <v>369</v>
      </c>
      <c r="L17" s="53"/>
      <c r="M17" s="159"/>
      <c r="N17" s="159"/>
      <c r="O17" s="140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</row>
    <row r="18" spans="1:47" s="138" customFormat="1" ht="13.5" thickBot="1">
      <c r="A18" s="158"/>
      <c r="B18" s="145" t="s">
        <v>353</v>
      </c>
      <c r="C18" s="146"/>
      <c r="D18" s="159"/>
      <c r="E18" s="155" t="s">
        <v>359</v>
      </c>
      <c r="F18" s="161"/>
      <c r="G18" s="159"/>
      <c r="H18" s="157"/>
      <c r="I18" s="157"/>
      <c r="J18" s="159"/>
      <c r="K18" s="162" t="s">
        <v>227</v>
      </c>
      <c r="L18" s="163"/>
      <c r="M18" s="159"/>
      <c r="N18" s="159"/>
      <c r="O18" s="140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</row>
    <row r="19" spans="1:47" s="138" customFormat="1" ht="12.75">
      <c r="A19" s="158"/>
      <c r="B19" s="145" t="s">
        <v>354</v>
      </c>
      <c r="C19" s="146"/>
      <c r="D19" s="159"/>
      <c r="E19" s="159"/>
      <c r="F19" s="159"/>
      <c r="G19" s="159"/>
      <c r="H19" s="157"/>
      <c r="I19" s="157"/>
      <c r="J19" s="159"/>
      <c r="K19" s="164"/>
      <c r="L19" s="165" t="s">
        <v>225</v>
      </c>
      <c r="M19" s="159"/>
      <c r="N19" s="159"/>
      <c r="O19" s="140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</row>
    <row r="20" spans="1:47" s="138" customFormat="1" ht="13.5" thickBot="1">
      <c r="A20" s="158"/>
      <c r="B20" s="147" t="s">
        <v>355</v>
      </c>
      <c r="C20" s="149"/>
      <c r="D20" s="159"/>
      <c r="E20" s="159"/>
      <c r="F20" s="159"/>
      <c r="G20" s="159"/>
      <c r="H20" s="157"/>
      <c r="I20" s="157"/>
      <c r="J20" s="159"/>
      <c r="K20" s="166"/>
      <c r="L20" s="167" t="s">
        <v>226</v>
      </c>
      <c r="M20" s="159"/>
      <c r="N20" s="159"/>
      <c r="O20" s="140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</row>
    <row r="21" spans="1:47" s="138" customFormat="1" ht="12.75">
      <c r="A21" s="158"/>
      <c r="B21" s="147" t="s">
        <v>356</v>
      </c>
      <c r="C21" s="146"/>
      <c r="D21" s="159"/>
      <c r="E21" s="159"/>
      <c r="F21" s="159"/>
      <c r="G21" s="159"/>
      <c r="H21" s="157"/>
      <c r="I21" s="157"/>
      <c r="J21" s="159"/>
      <c r="M21" s="159"/>
      <c r="N21" s="159"/>
      <c r="O21" s="140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</row>
    <row r="22" spans="1:47" s="138" customFormat="1" ht="13.5" thickBot="1">
      <c r="A22" s="158"/>
      <c r="B22" s="155" t="s">
        <v>357</v>
      </c>
      <c r="C22" s="161"/>
      <c r="D22" s="159"/>
      <c r="E22" s="159"/>
      <c r="F22" s="159"/>
      <c r="G22" s="159"/>
      <c r="H22" s="157"/>
      <c r="I22" s="157"/>
      <c r="J22" s="159"/>
      <c r="K22" s="159"/>
      <c r="L22" s="168"/>
      <c r="M22" s="159"/>
      <c r="N22" s="159"/>
      <c r="O22" s="140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</row>
    <row r="23" spans="1:47" s="138" customFormat="1" ht="12.75">
      <c r="A23" s="158"/>
      <c r="B23" s="169"/>
      <c r="C23" s="169"/>
      <c r="D23" s="159"/>
      <c r="E23" s="159"/>
      <c r="F23" s="159"/>
      <c r="G23" s="159"/>
      <c r="H23" s="157"/>
      <c r="I23" s="157"/>
      <c r="J23" s="159"/>
      <c r="K23" s="159"/>
      <c r="L23" s="168"/>
      <c r="M23" s="159"/>
      <c r="N23" s="159"/>
      <c r="O23" s="140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</row>
    <row r="24" spans="1:47" s="2" customFormat="1" ht="12.75">
      <c r="A24" s="7"/>
      <c r="B24" s="4"/>
      <c r="C24" s="45" t="s">
        <v>211</v>
      </c>
      <c r="D24" s="1"/>
      <c r="E24" s="1"/>
      <c r="F24" s="45" t="s">
        <v>212</v>
      </c>
      <c r="G24" s="1"/>
      <c r="H24" s="1"/>
      <c r="I24" s="45" t="s">
        <v>213</v>
      </c>
      <c r="J24" s="1"/>
      <c r="K24" s="45" t="s">
        <v>221</v>
      </c>
      <c r="L24" s="1"/>
      <c r="M24" s="3"/>
      <c r="N24" s="3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138" customFormat="1" ht="12.75">
      <c r="A25" s="158"/>
      <c r="B25" s="196" t="s">
        <v>323</v>
      </c>
      <c r="C25" s="197">
        <v>1</v>
      </c>
      <c r="D25" s="198"/>
      <c r="E25" s="198"/>
      <c r="F25" s="197">
        <v>1</v>
      </c>
      <c r="G25" s="198"/>
      <c r="H25" s="198"/>
      <c r="I25" s="197">
        <v>1</v>
      </c>
      <c r="J25" s="199"/>
      <c r="K25" s="200"/>
      <c r="L25" s="199"/>
      <c r="M25" s="159"/>
      <c r="N25" s="159"/>
      <c r="O25" s="140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</row>
    <row r="26" spans="1:47" s="138" customFormat="1" ht="12.75">
      <c r="A26" s="158"/>
      <c r="B26" s="159" t="s">
        <v>206</v>
      </c>
      <c r="C26" s="201"/>
      <c r="D26" s="202"/>
      <c r="E26" s="202"/>
      <c r="F26" s="202"/>
      <c r="G26" s="202"/>
      <c r="H26" s="202"/>
      <c r="I26" s="202"/>
      <c r="J26" s="202"/>
      <c r="K26" s="202"/>
      <c r="L26" s="202"/>
      <c r="M26" s="170"/>
      <c r="O26" s="140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</row>
    <row r="27" spans="1:47" s="138" customFormat="1" ht="12.75">
      <c r="A27" s="158"/>
      <c r="B27" s="157" t="s">
        <v>217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170"/>
      <c r="N27" s="202"/>
      <c r="O27" s="140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</row>
    <row r="28" spans="1:47" s="138" customFormat="1" ht="12.75">
      <c r="A28" s="158"/>
      <c r="B28" s="170" t="s">
        <v>330</v>
      </c>
      <c r="C28" s="203">
        <f>Lists!AK6*C25</f>
        <v>0</v>
      </c>
      <c r="D28" s="170"/>
      <c r="E28" s="170"/>
      <c r="F28" s="204">
        <f>(C13*F25)</f>
        <v>0</v>
      </c>
      <c r="G28" s="170"/>
      <c r="H28" s="170"/>
      <c r="I28" s="204">
        <f>(C13*I25)</f>
        <v>0</v>
      </c>
      <c r="J28" s="170"/>
      <c r="K28" s="203">
        <f>SUM(C28,F28,I28)</f>
        <v>0</v>
      </c>
      <c r="L28" s="170"/>
      <c r="M28" s="170"/>
      <c r="N28" s="170"/>
      <c r="O28" s="140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</row>
    <row r="29" spans="1:47" s="138" customFormat="1" ht="12.75">
      <c r="A29" s="158"/>
      <c r="B29" s="170" t="s">
        <v>297</v>
      </c>
      <c r="C29" s="203">
        <f>Lists!AO6*C25</f>
        <v>0</v>
      </c>
      <c r="D29" s="170"/>
      <c r="E29" s="170"/>
      <c r="F29" s="204">
        <f>C17*F25</f>
        <v>0</v>
      </c>
      <c r="G29" s="170"/>
      <c r="H29" s="170"/>
      <c r="I29" s="204">
        <f>C17*I25</f>
        <v>0</v>
      </c>
      <c r="J29" s="170"/>
      <c r="K29" s="203">
        <f>SUM(C29,F29,I29)</f>
        <v>0</v>
      </c>
      <c r="L29" s="170"/>
      <c r="M29" s="170"/>
      <c r="N29" s="170"/>
      <c r="O29" s="140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</row>
    <row r="30" spans="1:47" s="138" customFormat="1" ht="12.75">
      <c r="A30" s="158"/>
      <c r="B30" s="205" t="s">
        <v>331</v>
      </c>
      <c r="C30" s="204">
        <f>Lists!AS6*C25</f>
        <v>0</v>
      </c>
      <c r="D30" s="202"/>
      <c r="E30" s="202"/>
      <c r="F30" s="204">
        <f>C14*F25</f>
        <v>0</v>
      </c>
      <c r="G30" s="202"/>
      <c r="H30" s="206"/>
      <c r="I30" s="204">
        <f>C14*I25</f>
        <v>0</v>
      </c>
      <c r="J30" s="207"/>
      <c r="K30" s="203">
        <f>SUM(C30,F30,I30)</f>
        <v>0</v>
      </c>
      <c r="L30" s="207"/>
      <c r="M30" s="170"/>
      <c r="N30" s="202"/>
      <c r="O30" s="140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</row>
    <row r="31" spans="1:47" s="138" customFormat="1" ht="12.75">
      <c r="A31" s="208">
        <v>5.5E-2</v>
      </c>
      <c r="B31" s="205" t="s">
        <v>210</v>
      </c>
      <c r="C31" s="204">
        <f>C16*A31</f>
        <v>0</v>
      </c>
      <c r="D31" s="202"/>
      <c r="E31" s="202"/>
      <c r="F31" s="204">
        <f>C16*A31</f>
        <v>0</v>
      </c>
      <c r="G31" s="202"/>
      <c r="H31" s="202"/>
      <c r="I31" s="204">
        <f>C16*A31</f>
        <v>0</v>
      </c>
      <c r="J31" s="207"/>
      <c r="K31" s="203">
        <f>SUM(C31,F31,I31)</f>
        <v>0</v>
      </c>
      <c r="L31" s="207"/>
      <c r="M31" s="170"/>
      <c r="N31" s="202"/>
      <c r="O31" s="140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</row>
    <row r="32" spans="1:47" s="138" customFormat="1" ht="13.5" thickBot="1">
      <c r="A32" s="209"/>
      <c r="B32" s="205" t="s">
        <v>12</v>
      </c>
      <c r="C32" s="210">
        <f>SUM(C28:C31)</f>
        <v>0</v>
      </c>
      <c r="D32" s="202"/>
      <c r="E32" s="202"/>
      <c r="F32" s="210">
        <f>SUM(F28:F31)</f>
        <v>0</v>
      </c>
      <c r="G32" s="202"/>
      <c r="H32" s="202"/>
      <c r="I32" s="210">
        <f>SUM(I28:I31)</f>
        <v>0</v>
      </c>
      <c r="J32" s="207"/>
      <c r="K32" s="210">
        <f>SUM(C32,F32,I32)</f>
        <v>0</v>
      </c>
      <c r="L32" s="207"/>
      <c r="M32" s="170"/>
      <c r="N32" s="202"/>
      <c r="O32" s="140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</row>
    <row r="33" spans="1:47" s="138" customFormat="1" ht="12.75">
      <c r="A33" s="209"/>
      <c r="B33" s="205"/>
      <c r="C33" s="204"/>
      <c r="D33" s="202"/>
      <c r="E33" s="202"/>
      <c r="F33" s="204"/>
      <c r="G33" s="202"/>
      <c r="H33" s="202"/>
      <c r="I33" s="204"/>
      <c r="J33" s="207"/>
      <c r="K33" s="204"/>
      <c r="L33" s="207"/>
      <c r="M33" s="170"/>
      <c r="N33" s="202"/>
      <c r="O33" s="140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</row>
    <row r="34" spans="1:47" s="138" customFormat="1" ht="12.75">
      <c r="A34" s="158"/>
      <c r="B34" s="211" t="s">
        <v>218</v>
      </c>
      <c r="C34" s="207"/>
      <c r="D34" s="202"/>
      <c r="E34" s="202"/>
      <c r="F34" s="207"/>
      <c r="G34" s="202"/>
      <c r="H34" s="202"/>
      <c r="I34" s="207"/>
      <c r="J34" s="207"/>
      <c r="K34" s="207"/>
      <c r="L34" s="207"/>
      <c r="M34" s="170"/>
      <c r="N34" s="202"/>
      <c r="O34" s="140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</row>
    <row r="35" spans="1:47" s="138" customFormat="1" ht="12.75">
      <c r="A35" s="212"/>
      <c r="B35" s="213" t="s">
        <v>329</v>
      </c>
      <c r="C35" s="214">
        <f>IFERROR((Lists!AC6*N4*C25)+(N5*Lists!AG6*C25),0)</f>
        <v>0</v>
      </c>
      <c r="D35" s="202"/>
      <c r="E35" s="202"/>
      <c r="F35" s="207">
        <f>IFERROR((SUM(C10:C11)*N4*F25)+(N5*C12*F25),0)</f>
        <v>0</v>
      </c>
      <c r="G35" s="202"/>
      <c r="H35" s="202"/>
      <c r="I35" s="207">
        <f>IFERROR((SUM(C10:C11)*N4*I25)+(N5*C12*I25),0)</f>
        <v>0</v>
      </c>
      <c r="J35" s="207"/>
      <c r="K35" s="203">
        <f t="shared" ref="K35:K41" si="0">SUM(C35,F35,I35)</f>
        <v>0</v>
      </c>
      <c r="L35" s="207"/>
      <c r="M35" s="170"/>
      <c r="N35" s="202"/>
      <c r="O35" s="140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</row>
    <row r="36" spans="1:47" s="138" customFormat="1" ht="12.75">
      <c r="A36" s="212"/>
      <c r="B36" s="213" t="s">
        <v>300</v>
      </c>
      <c r="C36" s="207">
        <f>C50</f>
        <v>0</v>
      </c>
      <c r="D36" s="202"/>
      <c r="E36" s="202"/>
      <c r="F36" s="207">
        <f>F50</f>
        <v>0</v>
      </c>
      <c r="G36" s="202"/>
      <c r="H36" s="202"/>
      <c r="I36" s="207">
        <f>I50</f>
        <v>0</v>
      </c>
      <c r="J36" s="207"/>
      <c r="K36" s="203">
        <f t="shared" si="0"/>
        <v>0</v>
      </c>
      <c r="L36" s="207"/>
      <c r="M36" s="170"/>
      <c r="N36" s="202"/>
      <c r="O36" s="140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</row>
    <row r="37" spans="1:47" s="138" customFormat="1" ht="12.75">
      <c r="A37" s="215">
        <v>0.21</v>
      </c>
      <c r="B37" s="213" t="s">
        <v>222</v>
      </c>
      <c r="C37" s="207">
        <f>SUM(C28:C29)*A37</f>
        <v>0</v>
      </c>
      <c r="D37" s="202"/>
      <c r="E37" s="202"/>
      <c r="F37" s="207">
        <f>SUM(F28:F29)*A37</f>
        <v>0</v>
      </c>
      <c r="G37" s="202"/>
      <c r="H37" s="202"/>
      <c r="I37" s="207">
        <f>SUM(I28:I29)*A37</f>
        <v>0</v>
      </c>
      <c r="J37" s="207"/>
      <c r="K37" s="203">
        <f t="shared" si="0"/>
        <v>0</v>
      </c>
      <c r="L37" s="207"/>
      <c r="M37" s="170"/>
      <c r="N37" s="202"/>
      <c r="O37" s="140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</row>
    <row r="38" spans="1:47" s="138" customFormat="1" ht="12.75">
      <c r="A38" s="158"/>
      <c r="B38" s="171" t="s">
        <v>199</v>
      </c>
      <c r="C38" s="207">
        <f>Lists!U6*N2</f>
        <v>0</v>
      </c>
      <c r="D38" s="202"/>
      <c r="E38" s="202"/>
      <c r="F38" s="207">
        <f>(F13*(1+$F$15))*N2</f>
        <v>0</v>
      </c>
      <c r="G38" s="202"/>
      <c r="H38" s="202"/>
      <c r="I38" s="207">
        <f>((F13*(1+$F$15+$F$15))*N2)</f>
        <v>0</v>
      </c>
      <c r="J38" s="207"/>
      <c r="K38" s="203">
        <f t="shared" si="0"/>
        <v>0</v>
      </c>
      <c r="L38" s="216">
        <v>0.3</v>
      </c>
      <c r="M38" s="170"/>
      <c r="N38" s="202"/>
      <c r="O38" s="150" t="s">
        <v>322</v>
      </c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</row>
    <row r="39" spans="1:47" s="138" customFormat="1" ht="12.75">
      <c r="A39" s="217">
        <f>38.69</f>
        <v>38.69</v>
      </c>
      <c r="B39" s="218" t="s">
        <v>274</v>
      </c>
      <c r="C39" s="219">
        <f>IF(L9="Y",(Lists!AG14*C25),0)</f>
        <v>0</v>
      </c>
      <c r="D39" s="202"/>
      <c r="E39" s="202"/>
      <c r="F39" s="219">
        <f>IF(L9="Y",(L10*L11*A39*L39*F25),0)</f>
        <v>0</v>
      </c>
      <c r="G39" s="202"/>
      <c r="H39" s="202"/>
      <c r="I39" s="219">
        <f>IF(L9="Y",(L10*L11*A39*L39*I25),0)</f>
        <v>0</v>
      </c>
      <c r="J39" s="207"/>
      <c r="K39" s="203">
        <f t="shared" si="0"/>
        <v>0</v>
      </c>
      <c r="L39" s="216">
        <v>0.9</v>
      </c>
      <c r="M39" s="170"/>
      <c r="N39" s="202"/>
      <c r="O39" s="150" t="s">
        <v>294</v>
      </c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</row>
    <row r="40" spans="1:47" s="138" customFormat="1" ht="12.75">
      <c r="A40" s="215">
        <v>1</v>
      </c>
      <c r="B40" s="218" t="s">
        <v>231</v>
      </c>
      <c r="C40" s="207">
        <f>L12*A40</f>
        <v>0</v>
      </c>
      <c r="D40" s="202"/>
      <c r="E40" s="202"/>
      <c r="F40" s="207">
        <f>A40*((L12*F15)+L12)</f>
        <v>0</v>
      </c>
      <c r="G40" s="202"/>
      <c r="H40" s="202"/>
      <c r="I40" s="207">
        <f>A40*(((L12*F15)*2)+L12)</f>
        <v>0</v>
      </c>
      <c r="J40" s="207"/>
      <c r="K40" s="203">
        <f t="shared" si="0"/>
        <v>0</v>
      </c>
      <c r="L40" s="207"/>
      <c r="M40" s="170"/>
      <c r="N40" s="202"/>
      <c r="O40" s="140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</row>
    <row r="41" spans="1:47" s="138" customFormat="1" ht="13.5" thickBot="1">
      <c r="A41" s="158"/>
      <c r="B41" s="205" t="s">
        <v>12</v>
      </c>
      <c r="C41" s="210">
        <f>SUM(C35:C40)</f>
        <v>0</v>
      </c>
      <c r="D41" s="202"/>
      <c r="E41" s="202"/>
      <c r="F41" s="210">
        <f>SUM(F35:F40)</f>
        <v>0</v>
      </c>
      <c r="G41" s="202"/>
      <c r="H41" s="202"/>
      <c r="I41" s="210">
        <f>SUM(I35:I40)</f>
        <v>0</v>
      </c>
      <c r="J41" s="207"/>
      <c r="K41" s="210">
        <f t="shared" si="0"/>
        <v>0</v>
      </c>
      <c r="L41" s="207"/>
      <c r="M41" s="170"/>
      <c r="N41" s="202"/>
      <c r="O41" s="140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</row>
    <row r="42" spans="1:47" s="138" customFormat="1" ht="12.75">
      <c r="A42" s="158"/>
      <c r="B42" s="220"/>
      <c r="C42" s="207"/>
      <c r="D42" s="202"/>
      <c r="E42" s="202"/>
      <c r="F42" s="202"/>
      <c r="G42" s="202"/>
      <c r="H42" s="202"/>
      <c r="I42" s="202"/>
      <c r="J42" s="207"/>
      <c r="K42" s="202"/>
      <c r="L42" s="207"/>
      <c r="M42" s="170"/>
      <c r="N42" s="202"/>
      <c r="O42" s="140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</row>
    <row r="43" spans="1:47" s="172" customFormat="1" ht="14.25" customHeight="1">
      <c r="A43" s="158"/>
      <c r="B43" s="213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21"/>
      <c r="N43" s="170"/>
    </row>
    <row r="44" spans="1:47" s="172" customFormat="1" ht="14.25" customHeight="1" thickBot="1">
      <c r="A44" s="222"/>
      <c r="B44" s="223" t="s">
        <v>230</v>
      </c>
      <c r="C44" s="224">
        <f>C32-C41</f>
        <v>0</v>
      </c>
      <c r="D44" s="225"/>
      <c r="E44" s="226"/>
      <c r="F44" s="224">
        <f>F32-F41</f>
        <v>0</v>
      </c>
      <c r="G44" s="226"/>
      <c r="H44" s="225"/>
      <c r="I44" s="224">
        <f>I32-I41</f>
        <v>0</v>
      </c>
      <c r="J44" s="226"/>
      <c r="K44" s="224">
        <f>SUM(C44,F44,I44)</f>
        <v>0</v>
      </c>
      <c r="L44" s="226"/>
      <c r="M44" s="227"/>
      <c r="N44" s="226"/>
    </row>
    <row r="45" spans="1:47" s="172" customFormat="1" ht="14.25" customHeight="1" thickTop="1">
      <c r="A45" s="173"/>
      <c r="B45" s="174"/>
      <c r="C45" s="175"/>
      <c r="D45" s="176"/>
      <c r="E45" s="177"/>
      <c r="F45" s="177"/>
      <c r="G45" s="177"/>
      <c r="H45" s="177"/>
      <c r="I45" s="177"/>
      <c r="J45" s="175"/>
      <c r="K45" s="175"/>
      <c r="L45" s="168"/>
      <c r="M45" s="159"/>
      <c r="N45" s="159"/>
      <c r="O45" s="228"/>
    </row>
    <row r="46" spans="1:47" s="172" customFormat="1" ht="14.25" customHeight="1">
      <c r="A46" s="158"/>
      <c r="B46" s="229"/>
      <c r="C46" s="200" t="s">
        <v>211</v>
      </c>
      <c r="D46" s="199"/>
      <c r="E46" s="199"/>
      <c r="F46" s="200" t="s">
        <v>212</v>
      </c>
      <c r="G46" s="199"/>
      <c r="H46" s="199"/>
      <c r="I46" s="200" t="s">
        <v>213</v>
      </c>
      <c r="J46" s="207"/>
      <c r="K46" s="200" t="s">
        <v>221</v>
      </c>
      <c r="L46" s="207"/>
      <c r="M46" s="230"/>
      <c r="N46" s="178"/>
      <c r="O46" s="228"/>
      <c r="R46" s="231"/>
    </row>
    <row r="47" spans="1:47" s="172" customFormat="1" ht="14.25" customHeight="1">
      <c r="A47" s="158"/>
      <c r="B47" s="159" t="s">
        <v>208</v>
      </c>
      <c r="C47" s="207"/>
      <c r="D47" s="207"/>
      <c r="E47" s="207"/>
      <c r="F47" s="207"/>
      <c r="G47" s="207"/>
      <c r="H47" s="207"/>
      <c r="I47" s="207"/>
      <c r="J47" s="207"/>
      <c r="K47" s="202"/>
      <c r="L47" s="207"/>
      <c r="M47" s="230"/>
      <c r="N47" s="178"/>
      <c r="O47" s="228"/>
    </row>
    <row r="48" spans="1:47" s="172" customFormat="1" ht="14.25" customHeight="1">
      <c r="A48" s="158"/>
      <c r="B48" s="157" t="s">
        <v>219</v>
      </c>
      <c r="C48" s="207"/>
      <c r="D48" s="207"/>
      <c r="E48" s="207"/>
      <c r="F48" s="207"/>
      <c r="G48" s="207"/>
      <c r="H48" s="207"/>
      <c r="I48" s="207"/>
      <c r="J48" s="207"/>
      <c r="K48" s="202"/>
      <c r="L48" s="207"/>
      <c r="M48" s="230"/>
      <c r="N48" s="178"/>
      <c r="O48" s="228"/>
    </row>
    <row r="49" spans="1:15" s="172" customFormat="1" ht="14.25" customHeight="1">
      <c r="A49" s="158"/>
      <c r="B49" s="218" t="s">
        <v>198</v>
      </c>
      <c r="C49" s="207">
        <f>C35</f>
        <v>0</v>
      </c>
      <c r="D49" s="207"/>
      <c r="E49" s="232"/>
      <c r="F49" s="207">
        <f>F35</f>
        <v>0</v>
      </c>
      <c r="G49" s="232"/>
      <c r="H49" s="207"/>
      <c r="I49" s="207">
        <f>I35</f>
        <v>0</v>
      </c>
      <c r="J49" s="232"/>
      <c r="K49" s="203">
        <f t="shared" ref="K49:K61" si="1">SUM(C49,F49,I49)</f>
        <v>0</v>
      </c>
      <c r="L49" s="232"/>
      <c r="M49" s="230"/>
      <c r="N49" s="178"/>
    </row>
    <row r="50" spans="1:15" s="172" customFormat="1" ht="14.25" customHeight="1">
      <c r="A50" s="158"/>
      <c r="B50" s="233" t="s">
        <v>300</v>
      </c>
      <c r="C50" s="207">
        <f>C29*0.79</f>
        <v>0</v>
      </c>
      <c r="D50" s="207"/>
      <c r="E50" s="232"/>
      <c r="F50" s="207">
        <f>F29*0.79</f>
        <v>0</v>
      </c>
      <c r="G50" s="232"/>
      <c r="H50" s="207"/>
      <c r="I50" s="207">
        <f>I29*0.79</f>
        <v>0</v>
      </c>
      <c r="J50" s="232"/>
      <c r="K50" s="203">
        <f t="shared" si="1"/>
        <v>0</v>
      </c>
      <c r="L50" s="232"/>
      <c r="M50" s="230"/>
      <c r="N50" s="178"/>
    </row>
    <row r="51" spans="1:15" s="172" customFormat="1" ht="14.25" customHeight="1">
      <c r="A51" s="158"/>
      <c r="B51" s="171" t="s">
        <v>199</v>
      </c>
      <c r="C51" s="207">
        <f>C38</f>
        <v>0</v>
      </c>
      <c r="D51" s="207"/>
      <c r="E51" s="207"/>
      <c r="F51" s="207">
        <f>F38</f>
        <v>0</v>
      </c>
      <c r="G51" s="207"/>
      <c r="H51" s="207"/>
      <c r="I51" s="207">
        <f>I38</f>
        <v>0</v>
      </c>
      <c r="J51" s="232"/>
      <c r="K51" s="203">
        <f t="shared" si="1"/>
        <v>0</v>
      </c>
      <c r="L51" s="232"/>
      <c r="M51" s="230"/>
      <c r="N51" s="178"/>
    </row>
    <row r="52" spans="1:15" s="172" customFormat="1" ht="14.25" customHeight="1">
      <c r="A52" s="217">
        <f>A39</f>
        <v>38.69</v>
      </c>
      <c r="B52" s="218" t="s">
        <v>274</v>
      </c>
      <c r="C52" s="207">
        <f>C39</f>
        <v>0</v>
      </c>
      <c r="D52" s="207"/>
      <c r="E52" s="207"/>
      <c r="F52" s="207">
        <f>F39</f>
        <v>0</v>
      </c>
      <c r="G52" s="207"/>
      <c r="H52" s="207"/>
      <c r="I52" s="207">
        <f>I39</f>
        <v>0</v>
      </c>
      <c r="J52" s="232"/>
      <c r="K52" s="203">
        <f t="shared" si="1"/>
        <v>0</v>
      </c>
      <c r="L52" s="232"/>
      <c r="M52" s="178"/>
      <c r="N52" s="178"/>
      <c r="O52" s="228"/>
    </row>
    <row r="53" spans="1:15" s="172" customFormat="1" ht="14.25" customHeight="1">
      <c r="A53" s="215">
        <v>1</v>
      </c>
      <c r="B53" s="218" t="s">
        <v>231</v>
      </c>
      <c r="C53" s="207">
        <f>C40</f>
        <v>0</v>
      </c>
      <c r="D53" s="207"/>
      <c r="E53" s="207"/>
      <c r="F53" s="207">
        <f>F40</f>
        <v>0</v>
      </c>
      <c r="G53" s="207"/>
      <c r="H53" s="207"/>
      <c r="I53" s="207">
        <f>I40</f>
        <v>0</v>
      </c>
      <c r="J53" s="232"/>
      <c r="K53" s="203">
        <f t="shared" si="1"/>
        <v>0</v>
      </c>
      <c r="L53" s="232"/>
      <c r="M53" s="178"/>
      <c r="N53" s="178"/>
      <c r="O53" s="228"/>
    </row>
    <row r="54" spans="1:15" s="172" customFormat="1" ht="14.25" customHeight="1">
      <c r="A54" s="209"/>
      <c r="B54" s="205" t="s">
        <v>216</v>
      </c>
      <c r="C54" s="207">
        <f>Lists!Y6</f>
        <v>0</v>
      </c>
      <c r="D54" s="232"/>
      <c r="E54" s="207"/>
      <c r="F54" s="207">
        <f>C15</f>
        <v>0</v>
      </c>
      <c r="G54" s="207"/>
      <c r="H54" s="207"/>
      <c r="I54" s="207">
        <f>C15</f>
        <v>0</v>
      </c>
      <c r="J54" s="207"/>
      <c r="K54" s="203">
        <f t="shared" si="1"/>
        <v>0</v>
      </c>
      <c r="L54" s="207"/>
      <c r="M54" s="234"/>
      <c r="N54" s="178"/>
      <c r="O54" s="228"/>
    </row>
    <row r="55" spans="1:15" s="172" customFormat="1" ht="14.25" customHeight="1">
      <c r="A55" s="209"/>
      <c r="B55" s="205" t="s">
        <v>207</v>
      </c>
      <c r="C55" s="207">
        <f>Lists!Q14</f>
        <v>0</v>
      </c>
      <c r="D55" s="232"/>
      <c r="E55" s="207"/>
      <c r="F55" s="207">
        <f>C16</f>
        <v>0</v>
      </c>
      <c r="G55" s="207"/>
      <c r="H55" s="207"/>
      <c r="I55" s="207">
        <f>C16</f>
        <v>0</v>
      </c>
      <c r="J55" s="207"/>
      <c r="K55" s="203">
        <f t="shared" si="1"/>
        <v>0</v>
      </c>
      <c r="L55" s="207"/>
      <c r="M55" s="234"/>
      <c r="N55" s="178"/>
      <c r="O55" s="228"/>
    </row>
    <row r="56" spans="1:15" s="172" customFormat="1" ht="14.25" customHeight="1">
      <c r="A56" s="209"/>
      <c r="B56" s="205" t="s">
        <v>353</v>
      </c>
      <c r="C56" s="207">
        <f>Lists!U14</f>
        <v>0</v>
      </c>
      <c r="D56" s="232"/>
      <c r="E56" s="207"/>
      <c r="F56" s="207">
        <f>$C$18</f>
        <v>0</v>
      </c>
      <c r="G56" s="207"/>
      <c r="H56" s="207"/>
      <c r="I56" s="207">
        <f>$C$18</f>
        <v>0</v>
      </c>
      <c r="J56" s="207"/>
      <c r="K56" s="203">
        <f t="shared" si="1"/>
        <v>0</v>
      </c>
      <c r="L56" s="207"/>
      <c r="M56" s="234"/>
      <c r="N56" s="178"/>
      <c r="O56" s="228"/>
    </row>
    <row r="57" spans="1:15" s="172" customFormat="1" ht="14.25" customHeight="1">
      <c r="A57" s="209"/>
      <c r="B57" s="205" t="s">
        <v>354</v>
      </c>
      <c r="C57" s="207">
        <v>0</v>
      </c>
      <c r="D57" s="232"/>
      <c r="E57" s="207"/>
      <c r="F57" s="207">
        <f>$C$19*F25</f>
        <v>0</v>
      </c>
      <c r="G57" s="207"/>
      <c r="H57" s="207"/>
      <c r="I57" s="207">
        <f>$C$19*I25</f>
        <v>0</v>
      </c>
      <c r="J57" s="207"/>
      <c r="K57" s="203">
        <f t="shared" si="1"/>
        <v>0</v>
      </c>
      <c r="L57" s="207"/>
      <c r="M57" s="234"/>
      <c r="N57" s="178"/>
      <c r="O57" s="228"/>
    </row>
    <row r="58" spans="1:15" s="172" customFormat="1" ht="14.25" customHeight="1">
      <c r="A58" s="209"/>
      <c r="B58" s="235" t="s">
        <v>375</v>
      </c>
      <c r="C58" s="207">
        <f>Lists!Y14*C25</f>
        <v>0</v>
      </c>
      <c r="D58" s="232"/>
      <c r="E58" s="207"/>
      <c r="F58" s="207">
        <f>$C$20*F25</f>
        <v>0</v>
      </c>
      <c r="G58" s="207"/>
      <c r="H58" s="207"/>
      <c r="I58" s="207">
        <f>$C$20*I25</f>
        <v>0</v>
      </c>
      <c r="J58" s="207"/>
      <c r="K58" s="203">
        <f t="shared" si="1"/>
        <v>0</v>
      </c>
      <c r="L58" s="207"/>
      <c r="M58" s="234"/>
      <c r="N58" s="178"/>
      <c r="O58" s="228"/>
    </row>
    <row r="59" spans="1:15" s="172" customFormat="1" ht="14.25" customHeight="1">
      <c r="A59" s="209"/>
      <c r="B59" s="205" t="s">
        <v>373</v>
      </c>
      <c r="C59" s="207">
        <f>Lists!AC14*C25</f>
        <v>0</v>
      </c>
      <c r="D59" s="232"/>
      <c r="E59" s="207"/>
      <c r="F59" s="207">
        <f>$C$21*F25</f>
        <v>0</v>
      </c>
      <c r="G59" s="207"/>
      <c r="H59" s="207"/>
      <c r="I59" s="207">
        <f>$C$21*I25</f>
        <v>0</v>
      </c>
      <c r="J59" s="207"/>
      <c r="K59" s="203">
        <f t="shared" si="1"/>
        <v>0</v>
      </c>
      <c r="L59" s="207"/>
      <c r="M59" s="234"/>
      <c r="N59" s="178"/>
      <c r="O59" s="228"/>
    </row>
    <row r="60" spans="1:15" s="172" customFormat="1" ht="14.25" customHeight="1">
      <c r="A60" s="209"/>
      <c r="B60" s="205" t="s">
        <v>374</v>
      </c>
      <c r="C60" s="207">
        <f>C22</f>
        <v>0</v>
      </c>
      <c r="D60" s="232"/>
      <c r="E60" s="207"/>
      <c r="F60" s="207">
        <v>0</v>
      </c>
      <c r="G60" s="207"/>
      <c r="H60" s="207"/>
      <c r="I60" s="207">
        <v>0</v>
      </c>
      <c r="J60" s="207"/>
      <c r="K60" s="203">
        <f t="shared" si="1"/>
        <v>0</v>
      </c>
      <c r="L60" s="207"/>
      <c r="M60" s="234"/>
      <c r="N60" s="178"/>
      <c r="O60" s="228"/>
    </row>
    <row r="61" spans="1:15" s="172" customFormat="1" ht="14.25" customHeight="1" thickBot="1">
      <c r="A61" s="209"/>
      <c r="B61" s="218" t="s">
        <v>12</v>
      </c>
      <c r="C61" s="210">
        <f>SUM(C49:C60)</f>
        <v>0</v>
      </c>
      <c r="D61" s="232"/>
      <c r="E61" s="207"/>
      <c r="F61" s="210">
        <f>SUM(F49:F60)</f>
        <v>0</v>
      </c>
      <c r="G61" s="232"/>
      <c r="H61" s="232"/>
      <c r="I61" s="210">
        <f>SUM(I49:I60)</f>
        <v>0</v>
      </c>
      <c r="J61" s="207"/>
      <c r="K61" s="210">
        <f t="shared" si="1"/>
        <v>0</v>
      </c>
      <c r="L61" s="207"/>
      <c r="M61" s="234"/>
      <c r="N61" s="178"/>
      <c r="O61" s="228"/>
    </row>
    <row r="62" spans="1:15" s="172" customFormat="1" ht="12.75">
      <c r="A62" s="158"/>
      <c r="B62" s="236"/>
      <c r="C62" s="232"/>
      <c r="D62" s="207"/>
      <c r="E62" s="232"/>
      <c r="F62" s="232"/>
      <c r="G62" s="207"/>
      <c r="H62" s="207"/>
      <c r="I62" s="232"/>
      <c r="J62" s="232"/>
      <c r="K62" s="207"/>
      <c r="L62" s="232"/>
      <c r="M62" s="237"/>
      <c r="N62" s="170"/>
    </row>
    <row r="63" spans="1:15" s="172" customFormat="1" ht="11.65" customHeight="1">
      <c r="A63" s="158"/>
      <c r="B63" s="211" t="s">
        <v>220</v>
      </c>
      <c r="C63" s="232"/>
      <c r="D63" s="207"/>
      <c r="E63" s="207"/>
      <c r="F63" s="232"/>
      <c r="G63" s="44"/>
      <c r="H63" s="44"/>
      <c r="I63" s="232"/>
      <c r="J63" s="232"/>
      <c r="K63" s="203"/>
      <c r="L63" s="232"/>
      <c r="M63" s="237"/>
      <c r="N63" s="170"/>
      <c r="O63" s="238"/>
    </row>
    <row r="64" spans="1:15" s="172" customFormat="1" ht="11.65" customHeight="1">
      <c r="A64" s="158"/>
      <c r="B64" s="213" t="s">
        <v>327</v>
      </c>
      <c r="C64" s="207">
        <f>Lists!Q6</f>
        <v>0</v>
      </c>
      <c r="D64" s="207"/>
      <c r="E64" s="207"/>
      <c r="F64" s="207">
        <f>SUM(I9)+(SUM(I9)*F15)</f>
        <v>0</v>
      </c>
      <c r="G64" s="44"/>
      <c r="H64" s="44"/>
      <c r="I64" s="207">
        <f>SUM(I9)+(SUM(I9)*F15*2)</f>
        <v>0</v>
      </c>
      <c r="J64" s="232"/>
      <c r="K64" s="203">
        <f t="shared" ref="K64:K73" si="2">SUM(C64,F64,I64)</f>
        <v>0</v>
      </c>
      <c r="L64" s="232"/>
      <c r="M64" s="237"/>
      <c r="N64" s="170"/>
      <c r="O64" s="238"/>
    </row>
    <row r="65" spans="1:17" s="172" customFormat="1" ht="11.65" customHeight="1">
      <c r="A65" s="158"/>
      <c r="B65" s="239" t="s">
        <v>337</v>
      </c>
      <c r="C65" s="207">
        <f>Lists!AW6</f>
        <v>0</v>
      </c>
      <c r="D65" s="207"/>
      <c r="E65" s="207"/>
      <c r="F65" s="207">
        <f>SUM(F16)+(SUM(F16)*F15)</f>
        <v>0</v>
      </c>
      <c r="G65" s="44"/>
      <c r="H65" s="44"/>
      <c r="I65" s="207">
        <f>SUM(F16)+(SUM(F16)*F15*2)</f>
        <v>0</v>
      </c>
      <c r="J65" s="232"/>
      <c r="K65" s="203">
        <f t="shared" si="2"/>
        <v>0</v>
      </c>
      <c r="L65" s="232"/>
      <c r="M65" s="237"/>
      <c r="N65" s="170"/>
      <c r="O65" s="238"/>
    </row>
    <row r="66" spans="1:17" s="172" customFormat="1" ht="11.65" customHeight="1">
      <c r="A66" s="158"/>
      <c r="B66" s="213" t="s">
        <v>328</v>
      </c>
      <c r="C66" s="207">
        <f>Lists!M6</f>
        <v>0</v>
      </c>
      <c r="D66" s="207"/>
      <c r="E66" s="207"/>
      <c r="F66" s="207">
        <f>F14+(C66*F15)</f>
        <v>0</v>
      </c>
      <c r="G66" s="44"/>
      <c r="H66" s="44"/>
      <c r="I66" s="207">
        <f>(F14*F15*2)+F14</f>
        <v>0</v>
      </c>
      <c r="J66" s="232"/>
      <c r="K66" s="203">
        <f t="shared" si="2"/>
        <v>0</v>
      </c>
      <c r="L66" s="232"/>
      <c r="M66" s="237"/>
      <c r="N66" s="170"/>
      <c r="O66" s="238"/>
    </row>
    <row r="67" spans="1:17" s="172" customFormat="1" ht="11.65" customHeight="1">
      <c r="A67" s="158"/>
      <c r="B67" s="239" t="s">
        <v>377</v>
      </c>
      <c r="C67" s="207">
        <f>Lists!BA6</f>
        <v>0</v>
      </c>
      <c r="D67" s="207"/>
      <c r="E67" s="207"/>
      <c r="F67" s="207">
        <f>SUM(F17:F18)+(SUM(F17:F18)*F15)</f>
        <v>0</v>
      </c>
      <c r="G67" s="44"/>
      <c r="H67" s="44"/>
      <c r="I67" s="207">
        <f>(SUM(F17:F18)*F15*2)+SUM(F17:F18)</f>
        <v>0</v>
      </c>
      <c r="J67" s="232"/>
      <c r="K67" s="203">
        <f t="shared" si="2"/>
        <v>0</v>
      </c>
      <c r="L67" s="232"/>
      <c r="M67" s="237"/>
      <c r="N67" s="170"/>
      <c r="O67" s="238"/>
    </row>
    <row r="68" spans="1:17" s="172" customFormat="1" ht="11.65" customHeight="1">
      <c r="A68" s="158"/>
      <c r="B68" s="213" t="s">
        <v>376</v>
      </c>
      <c r="C68" s="207">
        <f>L16+L17</f>
        <v>0</v>
      </c>
      <c r="D68" s="207"/>
      <c r="E68" s="207"/>
      <c r="F68" s="207">
        <v>0</v>
      </c>
      <c r="G68" s="44"/>
      <c r="H68" s="44"/>
      <c r="I68" s="207">
        <v>0</v>
      </c>
      <c r="J68" s="232"/>
      <c r="K68" s="203">
        <f t="shared" si="2"/>
        <v>0</v>
      </c>
      <c r="L68" s="232"/>
      <c r="M68" s="237"/>
      <c r="N68" s="170"/>
      <c r="O68" s="238"/>
    </row>
    <row r="69" spans="1:17" s="172" customFormat="1" ht="11.65" customHeight="1">
      <c r="A69" s="158"/>
      <c r="B69" s="213" t="s">
        <v>378</v>
      </c>
      <c r="C69" s="207">
        <f>($L$14+$L$15)*C25</f>
        <v>0</v>
      </c>
      <c r="D69" s="207"/>
      <c r="E69" s="207"/>
      <c r="F69" s="207">
        <f>($L$14+$L$15)*F25</f>
        <v>0</v>
      </c>
      <c r="G69" s="44"/>
      <c r="H69" s="44"/>
      <c r="I69" s="207">
        <f>($L$14+$L$15)*I25</f>
        <v>0</v>
      </c>
      <c r="J69" s="232"/>
      <c r="K69" s="203">
        <f t="shared" si="2"/>
        <v>0</v>
      </c>
      <c r="L69" s="232"/>
      <c r="M69" s="237"/>
      <c r="N69" s="170"/>
      <c r="O69" s="238"/>
    </row>
    <row r="70" spans="1:17" s="172" customFormat="1" ht="11.65" customHeight="1">
      <c r="A70" s="158"/>
      <c r="B70" s="213" t="s">
        <v>193</v>
      </c>
      <c r="C70" s="207">
        <f>C40</f>
        <v>0</v>
      </c>
      <c r="D70" s="207"/>
      <c r="E70" s="207"/>
      <c r="F70" s="207">
        <f>F40</f>
        <v>0</v>
      </c>
      <c r="G70" s="44"/>
      <c r="H70" s="44"/>
      <c r="I70" s="207">
        <f>I40</f>
        <v>0</v>
      </c>
      <c r="J70" s="232"/>
      <c r="K70" s="240">
        <f t="shared" si="2"/>
        <v>0</v>
      </c>
      <c r="L70" s="232"/>
      <c r="M70" s="237"/>
      <c r="N70" s="170"/>
      <c r="O70" s="238"/>
    </row>
    <row r="71" spans="1:17" s="172" customFormat="1" ht="11.65" customHeight="1">
      <c r="A71" s="158"/>
      <c r="B71" s="213" t="s">
        <v>277</v>
      </c>
      <c r="C71" s="207">
        <f>L13</f>
        <v>0</v>
      </c>
      <c r="D71" s="207"/>
      <c r="E71" s="207"/>
      <c r="F71" s="207">
        <f>(C71*F15)+C71</f>
        <v>0</v>
      </c>
      <c r="G71" s="44"/>
      <c r="H71" s="44"/>
      <c r="I71" s="207">
        <f>(F71*F15)+F71</f>
        <v>0</v>
      </c>
      <c r="J71" s="232"/>
      <c r="K71" s="203">
        <f t="shared" si="2"/>
        <v>0</v>
      </c>
      <c r="L71" s="232"/>
      <c r="M71" s="237"/>
      <c r="N71" s="170"/>
      <c r="O71" s="238"/>
    </row>
    <row r="72" spans="1:17" s="172" customFormat="1" ht="11.65" customHeight="1">
      <c r="A72" s="208">
        <v>5.5E-2</v>
      </c>
      <c r="B72" s="205" t="s">
        <v>200</v>
      </c>
      <c r="C72" s="207">
        <f>C16*A72</f>
        <v>0</v>
      </c>
      <c r="D72" s="207"/>
      <c r="E72" s="207"/>
      <c r="F72" s="204">
        <f>((C16*F15)+C16)*A72</f>
        <v>0</v>
      </c>
      <c r="G72" s="44"/>
      <c r="H72" s="44"/>
      <c r="I72" s="204">
        <f>((C16*F15*2)+C16)*A72</f>
        <v>0</v>
      </c>
      <c r="J72" s="232"/>
      <c r="K72" s="203">
        <f t="shared" si="2"/>
        <v>0</v>
      </c>
      <c r="L72" s="232"/>
      <c r="M72" s="237"/>
      <c r="N72" s="170"/>
      <c r="O72" s="238"/>
    </row>
    <row r="73" spans="1:17" s="172" customFormat="1" ht="11.65" customHeight="1" thickBot="1">
      <c r="A73" s="158"/>
      <c r="B73" s="241" t="s">
        <v>12</v>
      </c>
      <c r="C73" s="210">
        <f>SUM(C64:C72)</f>
        <v>0</v>
      </c>
      <c r="D73" s="207"/>
      <c r="E73" s="207"/>
      <c r="F73" s="210">
        <f>SUM(F64:F72)</f>
        <v>0</v>
      </c>
      <c r="G73" s="44"/>
      <c r="H73" s="44"/>
      <c r="I73" s="210">
        <f>SUM(I64:I72)</f>
        <v>0</v>
      </c>
      <c r="J73" s="232"/>
      <c r="K73" s="210">
        <f t="shared" si="2"/>
        <v>0</v>
      </c>
      <c r="L73" s="232"/>
      <c r="M73" s="237"/>
      <c r="N73" s="170"/>
      <c r="O73" s="238"/>
    </row>
    <row r="74" spans="1:17" s="172" customFormat="1" ht="11.65" customHeight="1">
      <c r="A74" s="158"/>
      <c r="B74" s="241"/>
      <c r="C74" s="232"/>
      <c r="D74" s="207"/>
      <c r="E74" s="207"/>
      <c r="F74" s="232"/>
      <c r="G74" s="44"/>
      <c r="H74" s="44"/>
      <c r="I74" s="207"/>
      <c r="J74" s="232"/>
      <c r="K74" s="202"/>
      <c r="L74" s="232"/>
      <c r="M74" s="237"/>
      <c r="N74" s="170"/>
      <c r="O74" s="238"/>
    </row>
    <row r="75" spans="1:17" s="172" customFormat="1" ht="11.65" customHeight="1">
      <c r="A75" s="158"/>
      <c r="B75" s="241"/>
      <c r="C75" s="232"/>
      <c r="D75" s="207"/>
      <c r="E75" s="207"/>
      <c r="F75" s="232"/>
      <c r="G75" s="44"/>
      <c r="H75" s="44"/>
      <c r="I75" s="207"/>
      <c r="J75" s="232"/>
      <c r="K75" s="207"/>
      <c r="L75" s="232"/>
      <c r="M75" s="237"/>
      <c r="N75" s="170"/>
      <c r="O75" s="238"/>
    </row>
    <row r="76" spans="1:17" s="172" customFormat="1" ht="14.25" customHeight="1" thickBot="1">
      <c r="A76" s="222"/>
      <c r="B76" s="242" t="s">
        <v>209</v>
      </c>
      <c r="C76" s="224">
        <f>C61-C73</f>
        <v>0</v>
      </c>
      <c r="D76" s="225"/>
      <c r="E76" s="226"/>
      <c r="F76" s="224">
        <f>F61-F73</f>
        <v>0</v>
      </c>
      <c r="G76" s="226"/>
      <c r="H76" s="225"/>
      <c r="I76" s="224">
        <f>I61-I73</f>
        <v>0</v>
      </c>
      <c r="J76" s="225"/>
      <c r="K76" s="224">
        <f>SUM(C76,F76,I76)</f>
        <v>0</v>
      </c>
      <c r="L76" s="226"/>
      <c r="M76" s="227"/>
      <c r="N76" s="226"/>
    </row>
    <row r="77" spans="1:17" s="172" customFormat="1" ht="11.65" customHeight="1" thickTop="1">
      <c r="A77" s="158"/>
      <c r="B77" s="241"/>
      <c r="C77" s="232"/>
      <c r="D77" s="207"/>
      <c r="E77" s="207"/>
      <c r="F77" s="44"/>
      <c r="G77" s="44"/>
      <c r="H77" s="44"/>
      <c r="I77" s="207"/>
      <c r="J77" s="232"/>
      <c r="K77" s="207"/>
      <c r="L77" s="232"/>
      <c r="M77" s="237"/>
      <c r="N77" s="170"/>
      <c r="O77" s="238"/>
    </row>
    <row r="78" spans="1:17" s="172" customFormat="1" ht="14.25" customHeight="1" thickBot="1">
      <c r="A78" s="222"/>
      <c r="B78" s="242" t="s">
        <v>270</v>
      </c>
      <c r="C78" s="224">
        <f>C76+C44</f>
        <v>0</v>
      </c>
      <c r="D78" s="225"/>
      <c r="E78" s="226"/>
      <c r="F78" s="224">
        <f>F76+F44</f>
        <v>0</v>
      </c>
      <c r="G78" s="226"/>
      <c r="H78" s="225"/>
      <c r="I78" s="224">
        <f>I76+I44</f>
        <v>0</v>
      </c>
      <c r="J78" s="225"/>
      <c r="K78" s="224">
        <f>K76+K44</f>
        <v>0</v>
      </c>
      <c r="L78" s="226"/>
      <c r="M78" s="227"/>
      <c r="N78" s="226"/>
    </row>
    <row r="79" spans="1:17" s="172" customFormat="1" ht="6.75" customHeight="1" thickTop="1">
      <c r="A79" s="173"/>
      <c r="B79" s="174"/>
      <c r="C79" s="175"/>
      <c r="D79" s="176"/>
      <c r="E79" s="177"/>
      <c r="F79" s="177"/>
      <c r="G79" s="177"/>
      <c r="H79" s="177"/>
      <c r="I79" s="177"/>
      <c r="J79" s="175"/>
      <c r="K79" s="176"/>
      <c r="L79" s="175"/>
      <c r="M79" s="176"/>
      <c r="N79" s="176"/>
      <c r="O79" s="179"/>
      <c r="P79" s="179"/>
      <c r="Q79" s="179"/>
    </row>
    <row r="80" spans="1:17" s="172" customFormat="1" ht="6.75" customHeight="1">
      <c r="A80" s="158"/>
      <c r="B80" s="170"/>
      <c r="C80" s="168"/>
      <c r="D80" s="159"/>
      <c r="E80" s="159"/>
      <c r="F80" s="159"/>
      <c r="G80" s="159"/>
      <c r="H80" s="159"/>
      <c r="I80" s="159"/>
      <c r="J80" s="168"/>
      <c r="K80" s="159"/>
      <c r="L80" s="168"/>
      <c r="M80" s="159"/>
      <c r="N80" s="159"/>
      <c r="O80" s="179"/>
      <c r="P80" s="179"/>
      <c r="Q80" s="179"/>
    </row>
    <row r="81" spans="1:17" s="172" customFormat="1" ht="14.25" customHeight="1">
      <c r="A81" s="180"/>
      <c r="B81" s="181" t="s">
        <v>8</v>
      </c>
      <c r="C81" s="178"/>
      <c r="D81" s="178"/>
      <c r="E81" s="44"/>
      <c r="F81" s="44"/>
      <c r="G81" s="44"/>
      <c r="H81" s="178"/>
      <c r="I81" s="178"/>
      <c r="J81" s="178"/>
      <c r="K81" s="178"/>
      <c r="L81" s="178"/>
      <c r="M81" s="178"/>
      <c r="N81" s="178"/>
      <c r="O81" s="182" t="s">
        <v>18</v>
      </c>
    </row>
    <row r="82" spans="1:17" s="172" customFormat="1" ht="14.25" customHeight="1">
      <c r="A82" s="183" t="s">
        <v>9</v>
      </c>
      <c r="B82" s="273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3"/>
      <c r="N82" s="273"/>
      <c r="O82" s="182"/>
    </row>
    <row r="83" spans="1:17" s="172" customFormat="1" ht="12.75" customHeight="1">
      <c r="A83" s="183" t="s">
        <v>10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3"/>
      <c r="M83" s="273"/>
      <c r="N83" s="273"/>
      <c r="O83" s="182"/>
    </row>
    <row r="84" spans="1:17" s="172" customFormat="1" ht="12.75" customHeight="1">
      <c r="A84" s="183" t="s">
        <v>11</v>
      </c>
      <c r="B84" s="273"/>
      <c r="C84" s="273"/>
      <c r="D84" s="273"/>
      <c r="E84" s="273"/>
      <c r="F84" s="273"/>
      <c r="G84" s="273"/>
      <c r="H84" s="273"/>
      <c r="I84" s="273"/>
      <c r="J84" s="273"/>
      <c r="K84" s="273"/>
      <c r="L84" s="273"/>
      <c r="M84" s="273"/>
      <c r="N84" s="273"/>
      <c r="O84" s="182"/>
    </row>
    <row r="85" spans="1:17" s="172" customFormat="1" ht="12.75" customHeight="1">
      <c r="A85" s="183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184"/>
    </row>
    <row r="86" spans="1:17" s="172" customFormat="1" ht="6.75" customHeight="1">
      <c r="A86" s="185"/>
      <c r="B86" s="186"/>
      <c r="C86" s="187"/>
      <c r="D86" s="188"/>
      <c r="E86" s="189"/>
      <c r="F86" s="189"/>
      <c r="G86" s="189"/>
      <c r="H86" s="189"/>
      <c r="I86" s="189"/>
      <c r="J86" s="187"/>
      <c r="K86" s="188"/>
      <c r="L86" s="187"/>
      <c r="M86" s="188"/>
      <c r="N86" s="188"/>
      <c r="O86" s="190"/>
      <c r="P86" s="179"/>
      <c r="Q86" s="179"/>
    </row>
    <row r="87" spans="1:17" s="172" customFormat="1" ht="14.25" customHeight="1">
      <c r="A87" s="191"/>
      <c r="B87" s="192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79"/>
      <c r="N87" s="179"/>
      <c r="O87" s="179"/>
      <c r="P87" s="179"/>
      <c r="Q87" s="179"/>
    </row>
    <row r="88" spans="1:17" s="172" customFormat="1" ht="14.25" customHeight="1">
      <c r="A88" s="194"/>
    </row>
    <row r="89" spans="1:17" s="172" customFormat="1" ht="14.25" customHeight="1">
      <c r="A89" s="194"/>
    </row>
    <row r="90" spans="1:17" s="172" customFormat="1" ht="14.25" customHeight="1">
      <c r="A90" s="194"/>
    </row>
    <row r="91" spans="1:17" s="172" customFormat="1" ht="14.25" customHeight="1">
      <c r="A91" s="194"/>
    </row>
    <row r="92" spans="1:17" s="172" customFormat="1" ht="14.25" customHeight="1">
      <c r="A92" s="194"/>
    </row>
    <row r="93" spans="1:17" s="172" customFormat="1" ht="14.25" customHeight="1">
      <c r="A93" s="194"/>
    </row>
    <row r="94" spans="1:17" s="172" customFormat="1" ht="14.25" customHeight="1">
      <c r="A94" s="194"/>
    </row>
    <row r="95" spans="1:17" s="172" customFormat="1" ht="14.25" customHeight="1">
      <c r="A95" s="194"/>
    </row>
    <row r="96" spans="1:17" s="172" customFormat="1" ht="14.25" customHeight="1">
      <c r="A96" s="194"/>
    </row>
    <row r="97" spans="1:1" s="172" customFormat="1" ht="14.25" customHeight="1">
      <c r="A97" s="194"/>
    </row>
    <row r="98" spans="1:1" s="172" customFormat="1" ht="14.25" customHeight="1">
      <c r="A98" s="194"/>
    </row>
    <row r="99" spans="1:1" s="172" customFormat="1" ht="14.25" customHeight="1">
      <c r="A99" s="194"/>
    </row>
    <row r="100" spans="1:1" s="172" customFormat="1" ht="14.25" customHeight="1">
      <c r="A100" s="194"/>
    </row>
    <row r="101" spans="1:1" s="172" customFormat="1" ht="14.25" customHeight="1">
      <c r="A101" s="194"/>
    </row>
    <row r="102" spans="1:1" s="172" customFormat="1" ht="14.25" customHeight="1">
      <c r="A102" s="194"/>
    </row>
    <row r="103" spans="1:1" s="172" customFormat="1" ht="14.25" customHeight="1">
      <c r="A103" s="194"/>
    </row>
    <row r="104" spans="1:1" s="172" customFormat="1" ht="14.25" customHeight="1">
      <c r="A104" s="194"/>
    </row>
    <row r="105" spans="1:1" s="172" customFormat="1" ht="14.25" customHeight="1">
      <c r="A105" s="194"/>
    </row>
    <row r="106" spans="1:1" s="172" customFormat="1" ht="14.25" customHeight="1">
      <c r="A106" s="194"/>
    </row>
    <row r="107" spans="1:1" s="172" customFormat="1" ht="14.25" customHeight="1">
      <c r="A107" s="194"/>
    </row>
    <row r="108" spans="1:1" s="172" customFormat="1" ht="14.25" customHeight="1">
      <c r="A108" s="194"/>
    </row>
    <row r="109" spans="1:1" s="172" customFormat="1" ht="14.25" customHeight="1">
      <c r="A109" s="194"/>
    </row>
    <row r="110" spans="1:1" s="172" customFormat="1" ht="14.25" customHeight="1">
      <c r="A110" s="194"/>
    </row>
    <row r="111" spans="1:1" s="172" customFormat="1" ht="14.25" customHeight="1">
      <c r="A111" s="194"/>
    </row>
    <row r="112" spans="1:1" s="172" customFormat="1" ht="14.25" customHeight="1">
      <c r="A112" s="194"/>
    </row>
    <row r="113" spans="1:1" s="172" customFormat="1" ht="14.25" customHeight="1">
      <c r="A113" s="194"/>
    </row>
    <row r="114" spans="1:1" s="172" customFormat="1" ht="14.25" customHeight="1">
      <c r="A114" s="194"/>
    </row>
    <row r="115" spans="1:1" s="172" customFormat="1" ht="14.25" customHeight="1">
      <c r="A115" s="194"/>
    </row>
    <row r="116" spans="1:1" s="172" customFormat="1" ht="14.25" customHeight="1">
      <c r="A116" s="194"/>
    </row>
    <row r="117" spans="1:1" s="172" customFormat="1" ht="14.25" customHeight="1">
      <c r="A117" s="194"/>
    </row>
    <row r="118" spans="1:1" s="172" customFormat="1" ht="14.25" customHeight="1">
      <c r="A118" s="194"/>
    </row>
    <row r="119" spans="1:1" s="172" customFormat="1" ht="14.25" customHeight="1">
      <c r="A119" s="194"/>
    </row>
    <row r="120" spans="1:1" s="172" customFormat="1" ht="14.25" customHeight="1">
      <c r="A120" s="194"/>
    </row>
    <row r="121" spans="1:1" s="172" customFormat="1" ht="14.25" customHeight="1">
      <c r="A121" s="194"/>
    </row>
    <row r="122" spans="1:1" s="172" customFormat="1" ht="14.25" customHeight="1">
      <c r="A122" s="194"/>
    </row>
    <row r="123" spans="1:1" s="172" customFormat="1" ht="14.25" customHeight="1">
      <c r="A123" s="194"/>
    </row>
    <row r="124" spans="1:1" s="172" customFormat="1" ht="14.25" customHeight="1">
      <c r="A124" s="194"/>
    </row>
    <row r="125" spans="1:1" s="172" customFormat="1" ht="14.25" customHeight="1">
      <c r="A125" s="194"/>
    </row>
    <row r="126" spans="1:1" s="172" customFormat="1" ht="14.25" customHeight="1">
      <c r="A126" s="194"/>
    </row>
    <row r="127" spans="1:1" s="172" customFormat="1" ht="14.25" customHeight="1">
      <c r="A127" s="194"/>
    </row>
    <row r="128" spans="1:1" s="172" customFormat="1" ht="14.25" customHeight="1">
      <c r="A128" s="194"/>
    </row>
    <row r="129" spans="1:1" s="172" customFormat="1" ht="14.25" customHeight="1">
      <c r="A129" s="194"/>
    </row>
    <row r="130" spans="1:1" s="172" customFormat="1" ht="14.25" customHeight="1">
      <c r="A130" s="194"/>
    </row>
    <row r="131" spans="1:1" s="172" customFormat="1" ht="14.25" customHeight="1">
      <c r="A131" s="194"/>
    </row>
    <row r="132" spans="1:1" s="172" customFormat="1" ht="14.25" customHeight="1">
      <c r="A132" s="194"/>
    </row>
    <row r="133" spans="1:1" s="172" customFormat="1" ht="14.25" customHeight="1">
      <c r="A133" s="194"/>
    </row>
    <row r="134" spans="1:1" s="172" customFormat="1" ht="14.25" customHeight="1">
      <c r="A134" s="194"/>
    </row>
    <row r="135" spans="1:1" s="172" customFormat="1" ht="14.25" customHeight="1">
      <c r="A135" s="194"/>
    </row>
    <row r="136" spans="1:1" s="172" customFormat="1" ht="14.25" customHeight="1">
      <c r="A136" s="194"/>
    </row>
    <row r="137" spans="1:1" s="172" customFormat="1" ht="14.25" customHeight="1">
      <c r="A137" s="194"/>
    </row>
    <row r="138" spans="1:1" s="172" customFormat="1" ht="14.25" customHeight="1">
      <c r="A138" s="194"/>
    </row>
    <row r="139" spans="1:1" s="172" customFormat="1" ht="14.25" customHeight="1">
      <c r="A139" s="194"/>
    </row>
    <row r="140" spans="1:1" s="172" customFormat="1" ht="14.25" customHeight="1">
      <c r="A140" s="194"/>
    </row>
    <row r="141" spans="1:1" s="172" customFormat="1" ht="14.25" customHeight="1">
      <c r="A141" s="194"/>
    </row>
    <row r="142" spans="1:1" s="172" customFormat="1" ht="14.25" customHeight="1">
      <c r="A142" s="194"/>
    </row>
    <row r="143" spans="1:1" s="172" customFormat="1" ht="14.25" customHeight="1">
      <c r="A143" s="194"/>
    </row>
    <row r="144" spans="1:1" s="172" customFormat="1" ht="14.25" customHeight="1">
      <c r="A144" s="194"/>
    </row>
    <row r="145" spans="1:1" s="172" customFormat="1" ht="14.25" customHeight="1">
      <c r="A145" s="194"/>
    </row>
    <row r="146" spans="1:1" s="172" customFormat="1" ht="14.25" customHeight="1">
      <c r="A146" s="194"/>
    </row>
    <row r="147" spans="1:1" s="172" customFormat="1" ht="14.25" customHeight="1">
      <c r="A147" s="194"/>
    </row>
    <row r="148" spans="1:1" s="172" customFormat="1" ht="14.25" customHeight="1">
      <c r="A148" s="194"/>
    </row>
    <row r="149" spans="1:1" s="172" customFormat="1" ht="14.25" customHeight="1">
      <c r="A149" s="194"/>
    </row>
    <row r="150" spans="1:1" s="172" customFormat="1" ht="14.25" customHeight="1">
      <c r="A150" s="194"/>
    </row>
    <row r="151" spans="1:1" s="172" customFormat="1" ht="14.25" customHeight="1">
      <c r="A151" s="194"/>
    </row>
    <row r="152" spans="1:1" s="172" customFormat="1" ht="14.25" customHeight="1">
      <c r="A152" s="194"/>
    </row>
    <row r="153" spans="1:1" s="172" customFormat="1" ht="14.25" customHeight="1">
      <c r="A153" s="194"/>
    </row>
    <row r="154" spans="1:1" s="172" customFormat="1" ht="14.25" customHeight="1">
      <c r="A154" s="194"/>
    </row>
    <row r="155" spans="1:1" s="172" customFormat="1" ht="14.25" customHeight="1">
      <c r="A155" s="194"/>
    </row>
    <row r="156" spans="1:1" s="172" customFormat="1" ht="14.25" customHeight="1">
      <c r="A156" s="194"/>
    </row>
    <row r="157" spans="1:1" s="172" customFormat="1" ht="14.25" customHeight="1">
      <c r="A157" s="194"/>
    </row>
    <row r="158" spans="1:1" s="172" customFormat="1" ht="14.25" customHeight="1">
      <c r="A158" s="194"/>
    </row>
    <row r="159" spans="1:1" s="172" customFormat="1" ht="14.25" customHeight="1">
      <c r="A159" s="194"/>
    </row>
    <row r="160" spans="1:1" s="172" customFormat="1" ht="14.25" customHeight="1">
      <c r="A160" s="194"/>
    </row>
    <row r="161" spans="1:1" s="172" customFormat="1" ht="14.25" customHeight="1">
      <c r="A161" s="194"/>
    </row>
    <row r="162" spans="1:1" s="172" customFormat="1" ht="14.25" customHeight="1">
      <c r="A162" s="194"/>
    </row>
    <row r="163" spans="1:1" s="172" customFormat="1" ht="14.25" customHeight="1">
      <c r="A163" s="194"/>
    </row>
    <row r="164" spans="1:1" s="172" customFormat="1" ht="14.25" customHeight="1">
      <c r="A164" s="194"/>
    </row>
    <row r="165" spans="1:1" s="172" customFormat="1" ht="14.25" customHeight="1">
      <c r="A165" s="194"/>
    </row>
    <row r="166" spans="1:1" s="172" customFormat="1" ht="14.25" customHeight="1">
      <c r="A166" s="194"/>
    </row>
    <row r="167" spans="1:1" s="172" customFormat="1" ht="14.25" customHeight="1">
      <c r="A167" s="194"/>
    </row>
    <row r="168" spans="1:1" s="172" customFormat="1" ht="14.25" customHeight="1">
      <c r="A168" s="194"/>
    </row>
    <row r="169" spans="1:1" s="172" customFormat="1" ht="14.25" customHeight="1">
      <c r="A169" s="194"/>
    </row>
    <row r="170" spans="1:1" s="172" customFormat="1" ht="14.25" customHeight="1">
      <c r="A170" s="194"/>
    </row>
    <row r="171" spans="1:1" s="172" customFormat="1" ht="14.25" customHeight="1">
      <c r="A171" s="194"/>
    </row>
    <row r="172" spans="1:1" s="172" customFormat="1" ht="14.25" customHeight="1">
      <c r="A172" s="194"/>
    </row>
    <row r="173" spans="1:1" s="172" customFormat="1" ht="14.25" customHeight="1">
      <c r="A173" s="194"/>
    </row>
    <row r="174" spans="1:1" s="172" customFormat="1" ht="14.25" customHeight="1">
      <c r="A174" s="194"/>
    </row>
    <row r="175" spans="1:1" s="172" customFormat="1" ht="14.25" customHeight="1">
      <c r="A175" s="194"/>
    </row>
    <row r="176" spans="1:1" s="172" customFormat="1" ht="14.25" customHeight="1">
      <c r="A176" s="194"/>
    </row>
    <row r="177" spans="1:1" s="172" customFormat="1" ht="14.25" customHeight="1">
      <c r="A177" s="194"/>
    </row>
    <row r="178" spans="1:1" s="172" customFormat="1" ht="14.25" customHeight="1">
      <c r="A178" s="194"/>
    </row>
    <row r="179" spans="1:1" s="172" customFormat="1" ht="14.25" customHeight="1">
      <c r="A179" s="194"/>
    </row>
    <row r="180" spans="1:1" s="172" customFormat="1" ht="14.25" customHeight="1">
      <c r="A180" s="194"/>
    </row>
    <row r="181" spans="1:1" s="172" customFormat="1" ht="14.25" customHeight="1">
      <c r="A181" s="194"/>
    </row>
    <row r="182" spans="1:1" s="172" customFormat="1" ht="14.25" customHeight="1">
      <c r="A182" s="194"/>
    </row>
    <row r="183" spans="1:1" s="172" customFormat="1" ht="14.25" customHeight="1">
      <c r="A183" s="194"/>
    </row>
    <row r="184" spans="1:1" s="172" customFormat="1" ht="14.25" customHeight="1">
      <c r="A184" s="194"/>
    </row>
    <row r="185" spans="1:1" s="172" customFormat="1" ht="14.25" customHeight="1">
      <c r="A185" s="194"/>
    </row>
    <row r="186" spans="1:1" s="172" customFormat="1" ht="14.25" customHeight="1">
      <c r="A186" s="194"/>
    </row>
    <row r="187" spans="1:1" s="172" customFormat="1" ht="14.25" customHeight="1">
      <c r="A187" s="194"/>
    </row>
    <row r="188" spans="1:1" s="172" customFormat="1" ht="14.25" customHeight="1">
      <c r="A188" s="194"/>
    </row>
    <row r="189" spans="1:1" s="172" customFormat="1" ht="14.25" customHeight="1">
      <c r="A189" s="194"/>
    </row>
    <row r="190" spans="1:1" s="172" customFormat="1" ht="14.25" customHeight="1">
      <c r="A190" s="194"/>
    </row>
    <row r="191" spans="1:1" s="172" customFormat="1" ht="14.25" customHeight="1">
      <c r="A191" s="194"/>
    </row>
    <row r="192" spans="1:1" s="172" customFormat="1" ht="14.25" customHeight="1">
      <c r="A192" s="194"/>
    </row>
    <row r="193" spans="1:1" s="172" customFormat="1" ht="14.25" customHeight="1">
      <c r="A193" s="194"/>
    </row>
    <row r="194" spans="1:1" s="172" customFormat="1" ht="14.25" customHeight="1">
      <c r="A194" s="194"/>
    </row>
    <row r="195" spans="1:1" s="172" customFormat="1" ht="14.25" customHeight="1">
      <c r="A195" s="194"/>
    </row>
    <row r="196" spans="1:1" s="172" customFormat="1" ht="14.25" customHeight="1">
      <c r="A196" s="194"/>
    </row>
    <row r="197" spans="1:1" s="172" customFormat="1" ht="14.25" customHeight="1">
      <c r="A197" s="194"/>
    </row>
    <row r="198" spans="1:1" s="172" customFormat="1" ht="14.25" customHeight="1">
      <c r="A198" s="194"/>
    </row>
    <row r="199" spans="1:1" s="172" customFormat="1" ht="14.25" customHeight="1">
      <c r="A199" s="194"/>
    </row>
    <row r="200" spans="1:1" s="172" customFormat="1" ht="14.25" customHeight="1">
      <c r="A200" s="194"/>
    </row>
    <row r="201" spans="1:1" s="172" customFormat="1" ht="14.25" customHeight="1">
      <c r="A201" s="194"/>
    </row>
    <row r="202" spans="1:1" s="172" customFormat="1" ht="14.25" customHeight="1">
      <c r="A202" s="194"/>
    </row>
    <row r="203" spans="1:1" s="172" customFormat="1" ht="14.25" customHeight="1">
      <c r="A203" s="194"/>
    </row>
    <row r="204" spans="1:1" s="172" customFormat="1" ht="14.25" customHeight="1">
      <c r="A204" s="194"/>
    </row>
    <row r="205" spans="1:1" s="172" customFormat="1" ht="14.25" customHeight="1">
      <c r="A205" s="194"/>
    </row>
    <row r="206" spans="1:1" s="172" customFormat="1" ht="14.25" customHeight="1">
      <c r="A206" s="194"/>
    </row>
    <row r="207" spans="1:1" s="172" customFormat="1" ht="14.25" customHeight="1">
      <c r="A207" s="194"/>
    </row>
    <row r="208" spans="1:1" s="172" customFormat="1" ht="14.25" customHeight="1">
      <c r="A208" s="194"/>
    </row>
    <row r="209" spans="1:1" s="172" customFormat="1" ht="14.25" customHeight="1">
      <c r="A209" s="194"/>
    </row>
    <row r="210" spans="1:1" s="172" customFormat="1" ht="14.25" customHeight="1">
      <c r="A210" s="194"/>
    </row>
    <row r="211" spans="1:1" s="172" customFormat="1" ht="14.25" customHeight="1">
      <c r="A211" s="194"/>
    </row>
    <row r="212" spans="1:1" s="172" customFormat="1" ht="14.25" customHeight="1">
      <c r="A212" s="194"/>
    </row>
    <row r="213" spans="1:1" s="172" customFormat="1" ht="14.25" customHeight="1">
      <c r="A213" s="194"/>
    </row>
    <row r="214" spans="1:1" s="172" customFormat="1" ht="14.25" customHeight="1">
      <c r="A214" s="194"/>
    </row>
    <row r="215" spans="1:1" s="172" customFormat="1" ht="14.25" customHeight="1">
      <c r="A215" s="194"/>
    </row>
    <row r="216" spans="1:1" s="172" customFormat="1" ht="14.25" customHeight="1">
      <c r="A216" s="194"/>
    </row>
    <row r="217" spans="1:1" s="172" customFormat="1" ht="14.25" customHeight="1">
      <c r="A217" s="194"/>
    </row>
    <row r="218" spans="1:1" s="172" customFormat="1" ht="14.25" customHeight="1">
      <c r="A218" s="194"/>
    </row>
    <row r="219" spans="1:1" s="172" customFormat="1" ht="14.25" customHeight="1">
      <c r="A219" s="194"/>
    </row>
    <row r="220" spans="1:1" s="172" customFormat="1" ht="14.25" customHeight="1">
      <c r="A220" s="194"/>
    </row>
    <row r="221" spans="1:1" s="172" customFormat="1" ht="14.25" customHeight="1">
      <c r="A221" s="194"/>
    </row>
    <row r="222" spans="1:1" s="172" customFormat="1" ht="14.25" customHeight="1">
      <c r="A222" s="194"/>
    </row>
    <row r="223" spans="1:1" s="172" customFormat="1" ht="14.25" customHeight="1">
      <c r="A223" s="194"/>
    </row>
    <row r="224" spans="1:1" s="172" customFormat="1" ht="14.25" customHeight="1">
      <c r="A224" s="194"/>
    </row>
    <row r="225" spans="1:1" s="172" customFormat="1" ht="14.25" customHeight="1">
      <c r="A225" s="194"/>
    </row>
    <row r="226" spans="1:1" s="172" customFormat="1" ht="14.25" customHeight="1">
      <c r="A226" s="194"/>
    </row>
    <row r="227" spans="1:1" s="172" customFormat="1" ht="14.25" customHeight="1">
      <c r="A227" s="194"/>
    </row>
    <row r="228" spans="1:1" s="172" customFormat="1" ht="14.25" customHeight="1">
      <c r="A228" s="194"/>
    </row>
    <row r="229" spans="1:1" s="172" customFormat="1" ht="14.25" customHeight="1">
      <c r="A229" s="194"/>
    </row>
    <row r="230" spans="1:1" s="172" customFormat="1" ht="14.25" customHeight="1">
      <c r="A230" s="194"/>
    </row>
    <row r="231" spans="1:1" s="172" customFormat="1" ht="14.25" customHeight="1">
      <c r="A231" s="194"/>
    </row>
    <row r="232" spans="1:1" s="172" customFormat="1" ht="14.25" customHeight="1">
      <c r="A232" s="194"/>
    </row>
    <row r="233" spans="1:1" s="172" customFormat="1" ht="14.25" customHeight="1">
      <c r="A233" s="194"/>
    </row>
    <row r="234" spans="1:1" s="172" customFormat="1" ht="14.25" customHeight="1">
      <c r="A234" s="194"/>
    </row>
    <row r="235" spans="1:1" s="172" customFormat="1" ht="14.25" customHeight="1">
      <c r="A235" s="194"/>
    </row>
    <row r="236" spans="1:1" s="172" customFormat="1" ht="14.25" customHeight="1">
      <c r="A236" s="194"/>
    </row>
    <row r="237" spans="1:1" s="172" customFormat="1" ht="14.25" customHeight="1">
      <c r="A237" s="194"/>
    </row>
    <row r="238" spans="1:1" s="172" customFormat="1" ht="14.25" customHeight="1">
      <c r="A238" s="194"/>
    </row>
    <row r="239" spans="1:1" s="172" customFormat="1" ht="14.25" customHeight="1">
      <c r="A239" s="194"/>
    </row>
    <row r="240" spans="1:1" s="172" customFormat="1" ht="14.25" customHeight="1">
      <c r="A240" s="194"/>
    </row>
    <row r="241" spans="1:1" s="172" customFormat="1" ht="14.25" customHeight="1">
      <c r="A241" s="194"/>
    </row>
    <row r="242" spans="1:1" s="172" customFormat="1" ht="14.25" customHeight="1">
      <c r="A242" s="194"/>
    </row>
    <row r="243" spans="1:1" s="172" customFormat="1" ht="14.25" customHeight="1">
      <c r="A243" s="194"/>
    </row>
    <row r="244" spans="1:1" s="172" customFormat="1" ht="14.25" customHeight="1">
      <c r="A244" s="194"/>
    </row>
    <row r="245" spans="1:1" s="172" customFormat="1" ht="14.25" customHeight="1">
      <c r="A245" s="194"/>
    </row>
    <row r="246" spans="1:1" s="172" customFormat="1" ht="14.25" customHeight="1">
      <c r="A246" s="194"/>
    </row>
    <row r="247" spans="1:1" s="172" customFormat="1" ht="14.25" customHeight="1">
      <c r="A247" s="194"/>
    </row>
    <row r="248" spans="1:1" s="172" customFormat="1" ht="14.25" customHeight="1">
      <c r="A248" s="194"/>
    </row>
    <row r="249" spans="1:1" s="172" customFormat="1" ht="14.25" customHeight="1">
      <c r="A249" s="194"/>
    </row>
    <row r="250" spans="1:1" s="172" customFormat="1" ht="14.25" customHeight="1">
      <c r="A250" s="194"/>
    </row>
    <row r="251" spans="1:1" s="172" customFormat="1" ht="14.25" customHeight="1">
      <c r="A251" s="194"/>
    </row>
    <row r="252" spans="1:1" s="172" customFormat="1" ht="14.25" customHeight="1">
      <c r="A252" s="194"/>
    </row>
    <row r="253" spans="1:1" s="172" customFormat="1" ht="14.25" customHeight="1">
      <c r="A253" s="194"/>
    </row>
    <row r="254" spans="1:1" s="172" customFormat="1" ht="14.25" customHeight="1">
      <c r="A254" s="194"/>
    </row>
    <row r="255" spans="1:1" s="172" customFormat="1" ht="14.25" customHeight="1">
      <c r="A255" s="194"/>
    </row>
    <row r="256" spans="1:1" s="172" customFormat="1" ht="14.25" customHeight="1">
      <c r="A256" s="194"/>
    </row>
    <row r="257" spans="1:1" s="172" customFormat="1" ht="14.25" customHeight="1">
      <c r="A257" s="194"/>
    </row>
    <row r="258" spans="1:1" s="172" customFormat="1" ht="14.25" customHeight="1">
      <c r="A258" s="194"/>
    </row>
    <row r="259" spans="1:1" s="172" customFormat="1" ht="14.25" customHeight="1">
      <c r="A259" s="194"/>
    </row>
    <row r="260" spans="1:1" s="172" customFormat="1" ht="14.25" customHeight="1">
      <c r="A260" s="194"/>
    </row>
    <row r="261" spans="1:1" s="172" customFormat="1" ht="14.25" customHeight="1">
      <c r="A261" s="194"/>
    </row>
    <row r="262" spans="1:1" s="172" customFormat="1" ht="14.25" customHeight="1">
      <c r="A262" s="194"/>
    </row>
    <row r="263" spans="1:1" s="172" customFormat="1" ht="14.25" customHeight="1">
      <c r="A263" s="194"/>
    </row>
    <row r="264" spans="1:1" s="172" customFormat="1" ht="14.25" customHeight="1">
      <c r="A264" s="194"/>
    </row>
    <row r="265" spans="1:1" s="172" customFormat="1" ht="14.25" customHeight="1">
      <c r="A265" s="194"/>
    </row>
    <row r="266" spans="1:1" s="172" customFormat="1" ht="14.25" customHeight="1">
      <c r="A266" s="194"/>
    </row>
    <row r="267" spans="1:1" s="172" customFormat="1" ht="14.25" customHeight="1">
      <c r="A267" s="194"/>
    </row>
    <row r="268" spans="1:1" s="172" customFormat="1" ht="14.25" customHeight="1">
      <c r="A268" s="194"/>
    </row>
    <row r="269" spans="1:1" s="172" customFormat="1" ht="14.25" customHeight="1">
      <c r="A269" s="194"/>
    </row>
    <row r="270" spans="1:1" s="172" customFormat="1" ht="14.25" customHeight="1">
      <c r="A270" s="194"/>
    </row>
    <row r="271" spans="1:1" s="172" customFormat="1" ht="14.25" customHeight="1">
      <c r="A271" s="194"/>
    </row>
    <row r="272" spans="1:1" s="172" customFormat="1" ht="14.25" customHeight="1">
      <c r="A272" s="194"/>
    </row>
    <row r="273" spans="1:1" s="172" customFormat="1" ht="14.25" customHeight="1">
      <c r="A273" s="194"/>
    </row>
    <row r="274" spans="1:1" s="172" customFormat="1" ht="14.25" customHeight="1">
      <c r="A274" s="194"/>
    </row>
    <row r="275" spans="1:1" s="172" customFormat="1" ht="14.25" customHeight="1">
      <c r="A275" s="194"/>
    </row>
    <row r="276" spans="1:1" s="172" customFormat="1" ht="14.25" customHeight="1">
      <c r="A276" s="194"/>
    </row>
    <row r="277" spans="1:1" s="172" customFormat="1" ht="14.25" customHeight="1">
      <c r="A277" s="194"/>
    </row>
    <row r="278" spans="1:1" s="172" customFormat="1" ht="14.25" customHeight="1">
      <c r="A278" s="194"/>
    </row>
    <row r="279" spans="1:1" s="172" customFormat="1" ht="14.25" customHeight="1">
      <c r="A279" s="194"/>
    </row>
    <row r="280" spans="1:1" s="172" customFormat="1" ht="14.25" customHeight="1">
      <c r="A280" s="194"/>
    </row>
    <row r="281" spans="1:1" s="172" customFormat="1" ht="14.25" customHeight="1">
      <c r="A281" s="194"/>
    </row>
    <row r="282" spans="1:1" s="172" customFormat="1" ht="14.25" customHeight="1">
      <c r="A282" s="194"/>
    </row>
    <row r="283" spans="1:1" s="172" customFormat="1" ht="14.25" customHeight="1">
      <c r="A283" s="194"/>
    </row>
    <row r="284" spans="1:1" s="172" customFormat="1" ht="14.25" customHeight="1">
      <c r="A284" s="194"/>
    </row>
    <row r="285" spans="1:1" s="172" customFormat="1" ht="14.25" customHeight="1">
      <c r="A285" s="194"/>
    </row>
    <row r="286" spans="1:1" s="172" customFormat="1" ht="14.25" customHeight="1">
      <c r="A286" s="194"/>
    </row>
    <row r="287" spans="1:1" s="172" customFormat="1" ht="14.25" customHeight="1">
      <c r="A287" s="194"/>
    </row>
    <row r="288" spans="1:1" s="172" customFormat="1" ht="14.25" customHeight="1">
      <c r="A288" s="194"/>
    </row>
    <row r="289" spans="1:1" s="172" customFormat="1" ht="14.25" customHeight="1">
      <c r="A289" s="194"/>
    </row>
    <row r="290" spans="1:1" s="172" customFormat="1" ht="14.25" customHeight="1">
      <c r="A290" s="194"/>
    </row>
    <row r="291" spans="1:1" s="172" customFormat="1" ht="14.25" customHeight="1">
      <c r="A291" s="194"/>
    </row>
    <row r="292" spans="1:1" s="172" customFormat="1" ht="14.25" customHeight="1">
      <c r="A292" s="194"/>
    </row>
    <row r="293" spans="1:1" s="172" customFormat="1" ht="14.25" customHeight="1">
      <c r="A293" s="194"/>
    </row>
    <row r="294" spans="1:1" s="172" customFormat="1" ht="14.25" customHeight="1">
      <c r="A294" s="194"/>
    </row>
    <row r="295" spans="1:1" s="172" customFormat="1" ht="14.25" customHeight="1">
      <c r="A295" s="194"/>
    </row>
    <row r="296" spans="1:1" s="172" customFormat="1" ht="14.25" customHeight="1">
      <c r="A296" s="194"/>
    </row>
    <row r="297" spans="1:1" s="172" customFormat="1" ht="14.25" customHeight="1">
      <c r="A297" s="194"/>
    </row>
    <row r="298" spans="1:1" s="172" customFormat="1" ht="14.25" customHeight="1">
      <c r="A298" s="194"/>
    </row>
    <row r="299" spans="1:1" s="172" customFormat="1" ht="14.25" customHeight="1">
      <c r="A299" s="194"/>
    </row>
    <row r="300" spans="1:1" s="172" customFormat="1" ht="14.25" customHeight="1">
      <c r="A300" s="194"/>
    </row>
    <row r="301" spans="1:1" s="172" customFormat="1" ht="14.25" customHeight="1">
      <c r="A301" s="194"/>
    </row>
    <row r="302" spans="1:1" s="172" customFormat="1" ht="14.25" customHeight="1">
      <c r="A302" s="194"/>
    </row>
    <row r="303" spans="1:1" s="172" customFormat="1" ht="14.25" customHeight="1">
      <c r="A303" s="194"/>
    </row>
    <row r="304" spans="1:1" s="172" customFormat="1" ht="14.25" customHeight="1">
      <c r="A304" s="194"/>
    </row>
    <row r="305" spans="1:1" s="172" customFormat="1" ht="14.25" customHeight="1">
      <c r="A305" s="194"/>
    </row>
    <row r="306" spans="1:1" s="172" customFormat="1" ht="14.25" customHeight="1">
      <c r="A306" s="194"/>
    </row>
    <row r="307" spans="1:1" s="172" customFormat="1" ht="14.25" customHeight="1">
      <c r="A307" s="194"/>
    </row>
    <row r="308" spans="1:1" s="172" customFormat="1" ht="14.25" customHeight="1">
      <c r="A308" s="194"/>
    </row>
    <row r="309" spans="1:1" s="172" customFormat="1" ht="14.25" customHeight="1">
      <c r="A309" s="194"/>
    </row>
    <row r="310" spans="1:1" s="172" customFormat="1" ht="14.25" customHeight="1">
      <c r="A310" s="194"/>
    </row>
    <row r="311" spans="1:1" s="172" customFormat="1" ht="14.25" customHeight="1">
      <c r="A311" s="194"/>
    </row>
    <row r="312" spans="1:1" s="172" customFormat="1" ht="14.25" customHeight="1">
      <c r="A312" s="194"/>
    </row>
    <row r="313" spans="1:1" s="172" customFormat="1" ht="14.25" customHeight="1">
      <c r="A313" s="194"/>
    </row>
    <row r="314" spans="1:1" s="172" customFormat="1" ht="14.25" customHeight="1">
      <c r="A314" s="194"/>
    </row>
    <row r="315" spans="1:1" s="172" customFormat="1" ht="14.25" customHeight="1">
      <c r="A315" s="194"/>
    </row>
    <row r="316" spans="1:1" s="172" customFormat="1" ht="14.25" customHeight="1">
      <c r="A316" s="194"/>
    </row>
    <row r="317" spans="1:1" s="172" customFormat="1" ht="14.25" customHeight="1">
      <c r="A317" s="194"/>
    </row>
    <row r="318" spans="1:1" s="172" customFormat="1" ht="14.25" customHeight="1">
      <c r="A318" s="194"/>
    </row>
    <row r="319" spans="1:1" s="172" customFormat="1" ht="14.25" customHeight="1">
      <c r="A319" s="194"/>
    </row>
    <row r="320" spans="1:1" s="172" customFormat="1" ht="14.25" customHeight="1">
      <c r="A320" s="194"/>
    </row>
    <row r="321" spans="1:3" s="172" customFormat="1" ht="14.25" customHeight="1">
      <c r="A321" s="194"/>
    </row>
    <row r="322" spans="1:3" s="172" customFormat="1" ht="14.25" customHeight="1">
      <c r="A322" s="194"/>
    </row>
    <row r="323" spans="1:3" s="172" customFormat="1" ht="14.25" customHeight="1">
      <c r="A323" s="194"/>
    </row>
    <row r="324" spans="1:3" s="172" customFormat="1" ht="14.25" customHeight="1">
      <c r="A324" s="194"/>
    </row>
    <row r="325" spans="1:3" s="172" customFormat="1" ht="14.25" customHeight="1">
      <c r="A325" s="194"/>
    </row>
    <row r="326" spans="1:3" s="172" customFormat="1" ht="14.25" customHeight="1">
      <c r="A326" s="194"/>
    </row>
    <row r="327" spans="1:3" ht="14.25" customHeight="1">
      <c r="B327" s="172"/>
      <c r="C327" s="172"/>
    </row>
    <row r="328" spans="1:3" ht="14.25" customHeight="1">
      <c r="B328" s="172"/>
      <c r="C328" s="172"/>
    </row>
  </sheetData>
  <mergeCells count="6">
    <mergeCell ref="B85:N85"/>
    <mergeCell ref="A1:B1"/>
    <mergeCell ref="A6:N6"/>
    <mergeCell ref="B84:N84"/>
    <mergeCell ref="B83:N83"/>
    <mergeCell ref="B82:N82"/>
  </mergeCells>
  <dataValidations count="1">
    <dataValidation type="list" allowBlank="1" showInputMessage="1" showErrorMessage="1" sqref="B42">
      <formula1>FUNDTYPE</formula1>
    </dataValidation>
  </dataValidations>
  <printOptions horizontalCentered="1"/>
  <pageMargins left="0.25" right="0.25" top="0.5" bottom="0.5" header="0.5" footer="0.5"/>
  <pageSetup scale="81" orientation="portrait" r:id="rId1"/>
  <headerFooter alignWithMargins="0">
    <oddFooter>&amp;R&amp;D</oddFooter>
  </headerFooter>
  <ignoredErrors>
    <ignoredError sqref="K32 K41 K61 C73 F72:F73 I72:I73 K73 A52 A39 C32:C34 C36:I37 D30:I31 C40:I40 F28:I29 D38:K38 D35:E35 G35:H35 C70:I71 D65:I65 C60 D56:I56 D66:I66 C61:I63 D59:I59 D57:I57 C64:E64 G64:H64 D34:I34 D32:D33 F32:I33 C49:I53 D54:I54 D55:I55 D58:I58 D39:I3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Lists!$K$3:$K$5</xm:f>
          </x14:formula1>
          <xm:sqref>L9</xm:sqref>
        </x14:dataValidation>
        <x14:dataValidation type="list" allowBlank="1" showInputMessage="1" showErrorMessage="1">
          <x14:formula1>
            <xm:f>Lists!$G$3:$G$22</xm:f>
          </x14:formula1>
          <xm:sqref>A3</xm:sqref>
        </x14:dataValidation>
        <x14:dataValidation type="list" allowBlank="1" showInputMessage="1" showErrorMessage="1">
          <x14:formula1>
            <xm:f>'FY23 Rates'!$A$4:$A$151</xm:f>
          </x14:formula1>
          <xm:sqref>A6:N6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workbookViewId="0">
      <selection sqref="A1:B1"/>
    </sheetView>
  </sheetViews>
  <sheetFormatPr defaultRowHeight="12.75"/>
  <cols>
    <col min="1" max="1" width="45.5703125" style="83" bestFit="1" customWidth="1"/>
    <col min="2" max="2" width="11.42578125" style="82" bestFit="1" customWidth="1"/>
    <col min="3" max="3" width="11.42578125" style="83" bestFit="1" customWidth="1"/>
    <col min="4" max="4" width="31.42578125" style="83" bestFit="1" customWidth="1"/>
    <col min="5" max="5" width="11.42578125" style="82" bestFit="1" customWidth="1"/>
    <col min="6" max="6" width="8.5703125" style="82" bestFit="1" customWidth="1"/>
    <col min="7" max="7" width="10.5703125" style="83" bestFit="1" customWidth="1"/>
    <col min="8" max="8" width="10.5703125" style="83" customWidth="1"/>
    <col min="9" max="9" width="8.7109375" style="84"/>
    <col min="10" max="10" width="8.7109375" style="83"/>
    <col min="11" max="11" width="23.42578125" style="83" bestFit="1" customWidth="1"/>
    <col min="12" max="13" width="8.7109375" style="82"/>
    <col min="14" max="14" width="8.7109375" style="96"/>
    <col min="15" max="15" width="8.7109375" style="85"/>
  </cols>
  <sheetData>
    <row r="1" spans="1:15" ht="18.75">
      <c r="A1" s="81" t="s">
        <v>303</v>
      </c>
      <c r="N1" s="85"/>
    </row>
    <row r="2" spans="1:15" ht="39" thickBot="1">
      <c r="H2" s="86" t="s">
        <v>304</v>
      </c>
      <c r="N2" s="85"/>
      <c r="O2" s="86" t="s">
        <v>304</v>
      </c>
    </row>
    <row r="3" spans="1:15" ht="13.5" thickBot="1">
      <c r="B3" s="274" t="s">
        <v>305</v>
      </c>
      <c r="C3" s="275"/>
      <c r="D3" s="275"/>
      <c r="E3" s="275"/>
      <c r="F3" s="275"/>
      <c r="G3" s="275"/>
      <c r="H3" s="87"/>
      <c r="I3" s="276" t="s">
        <v>306</v>
      </c>
      <c r="J3" s="277"/>
      <c r="K3" s="277"/>
      <c r="L3" s="277"/>
      <c r="M3" s="277"/>
      <c r="N3" s="278"/>
      <c r="O3" s="88"/>
    </row>
    <row r="4" spans="1:15" ht="38.25">
      <c r="A4" s="18" t="s">
        <v>269</v>
      </c>
      <c r="B4" s="89" t="s">
        <v>423</v>
      </c>
      <c r="C4" s="86" t="s">
        <v>307</v>
      </c>
      <c r="D4" s="86" t="s">
        <v>308</v>
      </c>
      <c r="E4" s="90" t="s">
        <v>309</v>
      </c>
      <c r="F4" s="91" t="s">
        <v>310</v>
      </c>
      <c r="G4" s="86" t="s">
        <v>311</v>
      </c>
      <c r="H4" s="86" t="s">
        <v>192</v>
      </c>
      <c r="I4" s="89" t="s">
        <v>423</v>
      </c>
      <c r="J4" s="86" t="s">
        <v>307</v>
      </c>
      <c r="K4" s="86" t="s">
        <v>308</v>
      </c>
      <c r="L4" s="90" t="s">
        <v>309</v>
      </c>
      <c r="M4" s="91" t="s">
        <v>310</v>
      </c>
      <c r="N4" s="92" t="s">
        <v>311</v>
      </c>
      <c r="O4" s="86" t="s">
        <v>192</v>
      </c>
    </row>
    <row r="5" spans="1:15">
      <c r="A5" s="83" t="s">
        <v>42</v>
      </c>
      <c r="B5" s="82">
        <f>VLOOKUP(A5,[2]MGMA!$A:$AV,48,FALSE)</f>
        <v>60.948160701824349</v>
      </c>
      <c r="C5" s="83" t="s">
        <v>313</v>
      </c>
      <c r="F5" s="93">
        <f t="shared" ref="F5:F69" si="0">IF(E5="",B5,E5)</f>
        <v>60.948160701824349</v>
      </c>
      <c r="G5" s="83" t="s">
        <v>313</v>
      </c>
      <c r="H5" s="94">
        <f t="shared" ref="H5:H69" si="1">IF(G5="Yes",F5*1.25,F5)</f>
        <v>60.948160701824349</v>
      </c>
      <c r="I5" s="95"/>
      <c r="L5" s="83"/>
      <c r="M5" s="83"/>
    </row>
    <row r="6" spans="1:15">
      <c r="A6" s="83" t="s">
        <v>43</v>
      </c>
      <c r="B6" s="82">
        <f>VLOOKUP(A6,[2]MGMA!$A:$AV,48,FALSE)</f>
        <v>64.88</v>
      </c>
      <c r="C6" s="83" t="s">
        <v>313</v>
      </c>
      <c r="D6" s="83" t="s">
        <v>314</v>
      </c>
      <c r="F6" s="93">
        <f t="shared" si="0"/>
        <v>64.88</v>
      </c>
      <c r="G6" s="83" t="s">
        <v>313</v>
      </c>
      <c r="H6" s="94">
        <f t="shared" si="1"/>
        <v>64.88</v>
      </c>
      <c r="I6" s="84">
        <v>33.340000000000003</v>
      </c>
      <c r="J6" s="83" t="s">
        <v>313</v>
      </c>
      <c r="K6" s="83" t="s">
        <v>43</v>
      </c>
      <c r="M6" s="82">
        <f>IF(L6="",I6,L6)</f>
        <v>33.340000000000003</v>
      </c>
      <c r="N6" s="96" t="s">
        <v>313</v>
      </c>
      <c r="O6" s="94">
        <f>IF(N6="Yes",M6*1.25,M6)</f>
        <v>33.340000000000003</v>
      </c>
    </row>
    <row r="7" spans="1:15">
      <c r="A7" s="83" t="s">
        <v>44</v>
      </c>
      <c r="B7" s="82">
        <f>VLOOKUP(A7,[2]MGMA!$A:$AV,48,FALSE)</f>
        <v>90.826355154599426</v>
      </c>
      <c r="C7" s="83" t="s">
        <v>313</v>
      </c>
      <c r="F7" s="93">
        <f t="shared" si="0"/>
        <v>90.826355154599426</v>
      </c>
      <c r="G7" s="83" t="s">
        <v>313</v>
      </c>
      <c r="H7" s="94">
        <f t="shared" si="1"/>
        <v>90.826355154599426</v>
      </c>
      <c r="I7" s="84">
        <v>58.35</v>
      </c>
      <c r="J7" s="83" t="s">
        <v>313</v>
      </c>
      <c r="K7" s="83" t="s">
        <v>44</v>
      </c>
      <c r="M7" s="82">
        <f>IF(L7="",I7,L7)</f>
        <v>58.35</v>
      </c>
      <c r="N7" s="96" t="s">
        <v>313</v>
      </c>
      <c r="O7" s="94">
        <f>IF(N7="Yes",M7*1.25,M7)</f>
        <v>58.35</v>
      </c>
    </row>
    <row r="8" spans="1:15">
      <c r="A8" s="83" t="s">
        <v>45</v>
      </c>
      <c r="B8" s="82">
        <f>VLOOKUP(A8,[2]MGMA!$A:$AV,48,FALSE)</f>
        <v>42.171256142202289</v>
      </c>
      <c r="C8" s="83" t="s">
        <v>313</v>
      </c>
      <c r="F8" s="93">
        <f t="shared" si="0"/>
        <v>42.171256142202289</v>
      </c>
      <c r="G8" s="83" t="s">
        <v>313</v>
      </c>
      <c r="H8" s="94">
        <f t="shared" si="1"/>
        <v>42.171256142202289</v>
      </c>
      <c r="O8" s="94"/>
    </row>
    <row r="9" spans="1:15">
      <c r="A9" s="83" t="s">
        <v>46</v>
      </c>
      <c r="B9" s="82">
        <f>VLOOKUP(A9,[2]MGMA!$A:$AV,48,FALSE)</f>
        <v>48.716863063795202</v>
      </c>
      <c r="C9" s="83" t="s">
        <v>313</v>
      </c>
      <c r="E9" s="83"/>
      <c r="F9" s="93">
        <f t="shared" si="0"/>
        <v>48.716863063795202</v>
      </c>
      <c r="G9" s="83" t="s">
        <v>313</v>
      </c>
      <c r="H9" s="94">
        <f t="shared" si="1"/>
        <v>48.716863063795202</v>
      </c>
    </row>
    <row r="10" spans="1:15">
      <c r="A10" s="83" t="s">
        <v>47</v>
      </c>
      <c r="B10" s="82">
        <f>VLOOKUP(A10,[2]MGMA!$A:$AV,48,FALSE)</f>
        <v>50.370633750921151</v>
      </c>
      <c r="C10" s="83" t="s">
        <v>313</v>
      </c>
      <c r="E10" s="83"/>
      <c r="F10" s="93">
        <f t="shared" si="0"/>
        <v>50.370633750921151</v>
      </c>
      <c r="G10" s="83" t="s">
        <v>313</v>
      </c>
      <c r="H10" s="94">
        <f t="shared" si="1"/>
        <v>50.370633750921151</v>
      </c>
      <c r="I10" s="95"/>
      <c r="L10" s="83"/>
      <c r="M10" s="83"/>
    </row>
    <row r="11" spans="1:15">
      <c r="A11" s="83" t="s">
        <v>48</v>
      </c>
      <c r="B11" s="82">
        <f>VLOOKUP(A11,[2]MGMA!$A:$AV,48,FALSE)</f>
        <v>48.964037674816858</v>
      </c>
      <c r="C11" s="83" t="s">
        <v>313</v>
      </c>
      <c r="E11" s="83"/>
      <c r="F11" s="93">
        <f t="shared" si="0"/>
        <v>48.964037674816858</v>
      </c>
      <c r="G11" s="83" t="s">
        <v>313</v>
      </c>
      <c r="H11" s="94">
        <f t="shared" si="1"/>
        <v>48.964037674816858</v>
      </c>
      <c r="I11" s="95"/>
      <c r="L11" s="83"/>
      <c r="M11" s="83"/>
    </row>
    <row r="12" spans="1:15">
      <c r="A12" s="83" t="s">
        <v>49</v>
      </c>
      <c r="B12" s="82">
        <f>VLOOKUP(A12,[2]MGMA!$A:$AV,48,FALSE)</f>
        <v>65.562369205403016</v>
      </c>
      <c r="C12" s="83" t="s">
        <v>313</v>
      </c>
      <c r="E12" s="83"/>
      <c r="F12" s="93">
        <f t="shared" si="0"/>
        <v>65.562369205403016</v>
      </c>
      <c r="G12" s="83" t="s">
        <v>313</v>
      </c>
      <c r="H12" s="94">
        <f t="shared" si="1"/>
        <v>65.562369205403016</v>
      </c>
      <c r="I12" s="95"/>
      <c r="L12" s="83"/>
      <c r="M12" s="83"/>
    </row>
    <row r="13" spans="1:15">
      <c r="A13" s="83" t="s">
        <v>50</v>
      </c>
      <c r="B13" s="82">
        <f>VLOOKUP(A13,[2]MGMA!$A:$AV,48,FALSE)</f>
        <v>48.644681071022426</v>
      </c>
      <c r="C13" s="83" t="s">
        <v>313</v>
      </c>
      <c r="E13" s="83"/>
      <c r="F13" s="93">
        <f t="shared" si="0"/>
        <v>48.644681071022426</v>
      </c>
      <c r="G13" s="83" t="s">
        <v>313</v>
      </c>
      <c r="H13" s="94">
        <f t="shared" si="1"/>
        <v>48.644681071022426</v>
      </c>
      <c r="I13" s="95"/>
      <c r="L13" s="83"/>
      <c r="M13" s="83"/>
    </row>
    <row r="14" spans="1:15">
      <c r="A14" s="83" t="s">
        <v>51</v>
      </c>
      <c r="B14" s="82">
        <f>VLOOKUP(A14,[2]MGMA!$A:$AV,48,FALSE)</f>
        <v>40.362280701754386</v>
      </c>
      <c r="C14" s="83" t="s">
        <v>312</v>
      </c>
      <c r="D14" s="83" t="s">
        <v>315</v>
      </c>
      <c r="E14" s="83">
        <v>44.42</v>
      </c>
      <c r="F14" s="93">
        <f t="shared" si="0"/>
        <v>44.42</v>
      </c>
      <c r="G14" s="83" t="s">
        <v>313</v>
      </c>
      <c r="H14" s="94">
        <f t="shared" si="1"/>
        <v>44.42</v>
      </c>
      <c r="I14" s="95"/>
      <c r="L14" s="83"/>
      <c r="M14" s="83"/>
    </row>
    <row r="15" spans="1:15">
      <c r="A15" s="83" t="s">
        <v>53</v>
      </c>
      <c r="B15" s="82">
        <f>VLOOKUP(A15,[2]MGMA!$A:$AV,48,FALSE)</f>
        <v>41.362571854375133</v>
      </c>
      <c r="C15" s="83" t="s">
        <v>312</v>
      </c>
      <c r="D15" s="83" t="s">
        <v>406</v>
      </c>
      <c r="E15" s="83">
        <v>40.299999999999997</v>
      </c>
      <c r="F15" s="93">
        <f t="shared" si="0"/>
        <v>40.299999999999997</v>
      </c>
      <c r="G15" s="83" t="s">
        <v>313</v>
      </c>
      <c r="H15" s="94">
        <f t="shared" si="1"/>
        <v>40.299999999999997</v>
      </c>
      <c r="I15" s="95"/>
      <c r="L15" s="83"/>
      <c r="M15" s="83"/>
    </row>
    <row r="16" spans="1:15">
      <c r="A16" s="83" t="s">
        <v>54</v>
      </c>
      <c r="B16" s="82">
        <f>VLOOKUP(A16,[2]MGMA!$A:$AV,48,FALSE)</f>
        <v>39.787691108319976</v>
      </c>
      <c r="C16" s="83" t="s">
        <v>313</v>
      </c>
      <c r="E16" s="83"/>
      <c r="F16" s="93">
        <f t="shared" si="0"/>
        <v>39.787691108319976</v>
      </c>
      <c r="G16" s="83" t="s">
        <v>313</v>
      </c>
      <c r="H16" s="94">
        <f t="shared" si="1"/>
        <v>39.787691108319976</v>
      </c>
      <c r="I16" s="95"/>
      <c r="L16" s="83"/>
      <c r="M16" s="83"/>
    </row>
    <row r="17" spans="1:13">
      <c r="A17" s="83" t="s">
        <v>55</v>
      </c>
      <c r="B17" s="82">
        <f>VLOOKUP(A17,[2]MGMA!$A:$AV,48,FALSE)</f>
        <v>48.200983453012796</v>
      </c>
      <c r="C17" s="83" t="s">
        <v>313</v>
      </c>
      <c r="E17" s="83"/>
      <c r="F17" s="93">
        <f t="shared" si="0"/>
        <v>48.200983453012796</v>
      </c>
      <c r="G17" s="83" t="s">
        <v>313</v>
      </c>
      <c r="H17" s="94">
        <f t="shared" si="1"/>
        <v>48.200983453012796</v>
      </c>
      <c r="I17" s="95"/>
      <c r="L17" s="83"/>
      <c r="M17" s="83"/>
    </row>
    <row r="18" spans="1:13">
      <c r="A18" s="83" t="s">
        <v>56</v>
      </c>
      <c r="B18" s="82">
        <f>VLOOKUP(A18,[2]MGMA!$A:$AV,48,FALSE)</f>
        <v>43.799150771719347</v>
      </c>
      <c r="C18" s="83" t="s">
        <v>313</v>
      </c>
      <c r="E18" s="83"/>
      <c r="F18" s="93">
        <f t="shared" si="0"/>
        <v>43.799150771719347</v>
      </c>
      <c r="G18" s="83" t="s">
        <v>313</v>
      </c>
      <c r="H18" s="94">
        <f t="shared" si="1"/>
        <v>43.799150771719347</v>
      </c>
      <c r="I18" s="95"/>
      <c r="L18" s="83"/>
      <c r="M18" s="83"/>
    </row>
    <row r="19" spans="1:13">
      <c r="A19" s="83" t="s">
        <v>57</v>
      </c>
      <c r="B19" s="82">
        <f>VLOOKUP(A19,[2]MGMA!$A:$AV,48,FALSE)</f>
        <v>51.366007406823741</v>
      </c>
      <c r="C19" s="83" t="s">
        <v>313</v>
      </c>
      <c r="E19" s="83"/>
      <c r="F19" s="93">
        <f t="shared" si="0"/>
        <v>51.366007406823741</v>
      </c>
      <c r="G19" s="83" t="s">
        <v>313</v>
      </c>
      <c r="H19" s="94">
        <f t="shared" si="1"/>
        <v>51.366007406823741</v>
      </c>
      <c r="I19" s="95"/>
      <c r="L19" s="83"/>
      <c r="M19" s="83"/>
    </row>
    <row r="20" spans="1:13">
      <c r="A20" s="83" t="s">
        <v>58</v>
      </c>
      <c r="B20" s="82">
        <f>VLOOKUP(A20,[2]MGMA!$A:$AV,48,FALSE)</f>
        <v>56.18916961699388</v>
      </c>
      <c r="C20" s="83" t="s">
        <v>313</v>
      </c>
      <c r="E20" s="83"/>
      <c r="F20" s="93">
        <f t="shared" si="0"/>
        <v>56.18916961699388</v>
      </c>
      <c r="G20" s="83" t="s">
        <v>313</v>
      </c>
      <c r="H20" s="94">
        <f t="shared" si="1"/>
        <v>56.18916961699388</v>
      </c>
      <c r="I20" s="95"/>
      <c r="L20" s="83"/>
      <c r="M20" s="83"/>
    </row>
    <row r="21" spans="1:13">
      <c r="A21" s="83" t="s">
        <v>59</v>
      </c>
      <c r="B21" s="82">
        <f>VLOOKUP(A21,[2]MGMA!$A:$AV,48,FALSE)</f>
        <v>45.904692791485246</v>
      </c>
      <c r="C21" s="83" t="s">
        <v>313</v>
      </c>
      <c r="E21" s="83"/>
      <c r="F21" s="93">
        <f t="shared" si="0"/>
        <v>45.904692791485246</v>
      </c>
      <c r="G21" s="83" t="s">
        <v>313</v>
      </c>
      <c r="H21" s="94">
        <f t="shared" si="1"/>
        <v>45.904692791485246</v>
      </c>
      <c r="I21" s="95"/>
      <c r="L21" s="83"/>
      <c r="M21" s="83"/>
    </row>
    <row r="22" spans="1:13">
      <c r="A22" s="83" t="s">
        <v>60</v>
      </c>
      <c r="B22" s="82">
        <f>VLOOKUP(A22,[2]MGMA!$A:$AV,48,FALSE)</f>
        <v>51.803191763191769</v>
      </c>
      <c r="C22" s="83" t="s">
        <v>313</v>
      </c>
      <c r="E22" s="83"/>
      <c r="F22" s="93">
        <f t="shared" si="0"/>
        <v>51.803191763191769</v>
      </c>
      <c r="G22" s="83" t="s">
        <v>313</v>
      </c>
      <c r="H22" s="94">
        <f t="shared" si="1"/>
        <v>51.803191763191769</v>
      </c>
      <c r="I22" s="95"/>
      <c r="L22" s="83"/>
      <c r="M22" s="83"/>
    </row>
    <row r="23" spans="1:13">
      <c r="A23" s="83" t="s">
        <v>61</v>
      </c>
      <c r="B23" s="82">
        <f>VLOOKUP(A23,[2]MGMA!$A:$AV,48,FALSE)</f>
        <v>56.803289885593948</v>
      </c>
      <c r="C23" s="83" t="s">
        <v>313</v>
      </c>
      <c r="E23" s="83"/>
      <c r="F23" s="93">
        <f t="shared" si="0"/>
        <v>56.803289885593948</v>
      </c>
      <c r="G23" s="83" t="s">
        <v>313</v>
      </c>
      <c r="H23" s="94">
        <f t="shared" si="1"/>
        <v>56.803289885593948</v>
      </c>
      <c r="I23" s="95"/>
      <c r="L23" s="83"/>
      <c r="M23" s="83"/>
    </row>
    <row r="24" spans="1:13">
      <c r="A24" s="83" t="s">
        <v>62</v>
      </c>
      <c r="B24" s="82">
        <f>VLOOKUP(A24,[2]MGMA!$A:$AV,48,FALSE)</f>
        <v>54.62652265713821</v>
      </c>
      <c r="C24" s="83" t="s">
        <v>313</v>
      </c>
      <c r="E24" s="83"/>
      <c r="F24" s="93">
        <f t="shared" si="0"/>
        <v>54.62652265713821</v>
      </c>
      <c r="G24" s="83" t="s">
        <v>313</v>
      </c>
      <c r="H24" s="94">
        <f t="shared" si="1"/>
        <v>54.62652265713821</v>
      </c>
      <c r="I24" s="95"/>
      <c r="L24" s="83"/>
      <c r="M24" s="83"/>
    </row>
    <row r="25" spans="1:13">
      <c r="A25" s="98" t="s">
        <v>64</v>
      </c>
      <c r="B25" s="82">
        <f>VLOOKUP(A25,[2]MGMA!$A:$AV,48,FALSE)</f>
        <v>61.687877237851659</v>
      </c>
      <c r="C25" s="83" t="s">
        <v>313</v>
      </c>
      <c r="E25" s="83"/>
      <c r="F25" s="93">
        <f t="shared" si="0"/>
        <v>61.687877237851659</v>
      </c>
      <c r="G25" s="83" t="s">
        <v>313</v>
      </c>
      <c r="H25" s="94">
        <f t="shared" si="1"/>
        <v>61.687877237851659</v>
      </c>
      <c r="I25" s="95"/>
      <c r="L25" s="83"/>
      <c r="M25" s="83"/>
    </row>
    <row r="26" spans="1:13">
      <c r="A26" s="83" t="s">
        <v>65</v>
      </c>
      <c r="B26" s="82">
        <f>VLOOKUP(A26,[2]MGMA!$A:$AV,48,FALSE)</f>
        <v>66.993031097789441</v>
      </c>
      <c r="C26" s="83" t="s">
        <v>313</v>
      </c>
      <c r="E26" s="83"/>
      <c r="F26" s="93">
        <f t="shared" si="0"/>
        <v>66.993031097789441</v>
      </c>
      <c r="G26" s="83" t="s">
        <v>313</v>
      </c>
      <c r="H26" s="94">
        <f t="shared" si="1"/>
        <v>66.993031097789441</v>
      </c>
      <c r="I26" s="95"/>
      <c r="L26" s="83"/>
      <c r="M26" s="83"/>
    </row>
    <row r="27" spans="1:13">
      <c r="A27" s="83" t="s">
        <v>66</v>
      </c>
      <c r="B27" s="82">
        <f>VLOOKUP(A27,[2]MGMA!$A:$AV,48,FALSE)</f>
        <v>59.336549622751015</v>
      </c>
      <c r="C27" s="83" t="s">
        <v>313</v>
      </c>
      <c r="E27" s="83"/>
      <c r="F27" s="93">
        <f t="shared" si="0"/>
        <v>59.336549622751015</v>
      </c>
      <c r="G27" s="83" t="s">
        <v>313</v>
      </c>
      <c r="H27" s="94">
        <f t="shared" si="1"/>
        <v>59.336549622751015</v>
      </c>
      <c r="I27" s="95"/>
      <c r="L27" s="83"/>
      <c r="M27" s="83"/>
    </row>
    <row r="28" spans="1:13">
      <c r="A28" s="83" t="s">
        <v>67</v>
      </c>
      <c r="B28" s="82">
        <f>VLOOKUP(A28,[2]MGMA!$A:$AV,48,FALSE)</f>
        <v>90.582584758041165</v>
      </c>
      <c r="C28" s="83" t="s">
        <v>313</v>
      </c>
      <c r="E28" s="83"/>
      <c r="F28" s="93">
        <f t="shared" si="0"/>
        <v>90.582584758041165</v>
      </c>
      <c r="G28" s="83" t="s">
        <v>313</v>
      </c>
      <c r="H28" s="94">
        <f t="shared" si="1"/>
        <v>90.582584758041165</v>
      </c>
      <c r="I28" s="95"/>
      <c r="L28" s="83"/>
      <c r="M28" s="83"/>
    </row>
    <row r="29" spans="1:13">
      <c r="A29" s="83" t="s">
        <v>280</v>
      </c>
      <c r="B29" s="82">
        <f>VLOOKUP(A29,[2]MGMA!$A:$AV,48,FALSE)</f>
        <v>59.9902306871357</v>
      </c>
      <c r="C29" s="83" t="s">
        <v>313</v>
      </c>
      <c r="E29" s="83"/>
      <c r="F29" s="93">
        <f t="shared" si="0"/>
        <v>59.9902306871357</v>
      </c>
      <c r="G29" s="83" t="s">
        <v>313</v>
      </c>
      <c r="H29" s="94">
        <f t="shared" si="1"/>
        <v>59.9902306871357</v>
      </c>
      <c r="I29" s="95"/>
      <c r="L29" s="83"/>
      <c r="M29" s="83"/>
    </row>
    <row r="30" spans="1:13">
      <c r="A30" s="83" t="s">
        <v>68</v>
      </c>
      <c r="B30" s="82">
        <f>VLOOKUP(A30,[2]MGMA!$A:$AV,48,FALSE)</f>
        <v>66.744149035761097</v>
      </c>
      <c r="C30" s="83" t="s">
        <v>313</v>
      </c>
      <c r="E30" s="83"/>
      <c r="F30" s="93">
        <f t="shared" si="0"/>
        <v>66.744149035761097</v>
      </c>
      <c r="G30" s="83" t="s">
        <v>313</v>
      </c>
      <c r="H30" s="94">
        <f t="shared" si="1"/>
        <v>66.744149035761097</v>
      </c>
      <c r="I30" s="95"/>
      <c r="L30" s="83"/>
      <c r="M30" s="83"/>
    </row>
    <row r="31" spans="1:13">
      <c r="A31" s="83" t="s">
        <v>397</v>
      </c>
      <c r="B31" s="82">
        <f>VLOOKUP(A31,[2]MGMA!$A:$AV,48,FALSE)</f>
        <v>66.744149035761097</v>
      </c>
      <c r="C31" s="83" t="s">
        <v>313</v>
      </c>
      <c r="E31" s="83"/>
      <c r="F31" s="93">
        <f t="shared" si="0"/>
        <v>66.744149035761097</v>
      </c>
      <c r="G31" s="83" t="s">
        <v>313</v>
      </c>
      <c r="H31" s="94">
        <f t="shared" si="1"/>
        <v>66.744149035761097</v>
      </c>
      <c r="I31" s="95"/>
      <c r="L31" s="83"/>
      <c r="M31" s="83"/>
    </row>
    <row r="32" spans="1:13">
      <c r="A32" s="83" t="s">
        <v>69</v>
      </c>
      <c r="B32" s="82">
        <f>VLOOKUP(A32,[2]MGMA!$A:$AV,48,FALSE)</f>
        <v>53.913863216266179</v>
      </c>
      <c r="C32" s="83" t="s">
        <v>313</v>
      </c>
      <c r="E32" s="83"/>
      <c r="F32" s="93">
        <f t="shared" si="0"/>
        <v>53.913863216266179</v>
      </c>
      <c r="G32" s="83" t="s">
        <v>313</v>
      </c>
      <c r="H32" s="94">
        <f t="shared" si="1"/>
        <v>53.913863216266179</v>
      </c>
      <c r="I32" s="95"/>
      <c r="L32" s="83"/>
      <c r="M32" s="83"/>
    </row>
    <row r="33" spans="1:13">
      <c r="A33" s="83" t="s">
        <v>70</v>
      </c>
      <c r="B33" s="82">
        <f>VLOOKUP(A33,[2]MGMA!$A:$AV,48,FALSE)</f>
        <v>50.927377636291283</v>
      </c>
      <c r="C33" s="83" t="s">
        <v>313</v>
      </c>
      <c r="E33" s="83"/>
      <c r="F33" s="93">
        <f t="shared" si="0"/>
        <v>50.927377636291283</v>
      </c>
      <c r="G33" s="83" t="s">
        <v>313</v>
      </c>
      <c r="H33" s="94">
        <f t="shared" si="1"/>
        <v>50.927377636291283</v>
      </c>
      <c r="I33" s="95"/>
      <c r="L33" s="83"/>
      <c r="M33" s="83"/>
    </row>
    <row r="34" spans="1:13">
      <c r="A34" s="83" t="s">
        <v>71</v>
      </c>
      <c r="B34" s="82">
        <f>VLOOKUP(A34,[2]MGMA!$A:$AV,48,FALSE)</f>
        <v>54.62652265713821</v>
      </c>
      <c r="C34" s="83" t="s">
        <v>313</v>
      </c>
      <c r="E34" s="83"/>
      <c r="F34" s="93">
        <f t="shared" si="0"/>
        <v>54.62652265713821</v>
      </c>
      <c r="G34" s="83" t="s">
        <v>313</v>
      </c>
      <c r="H34" s="94">
        <f t="shared" si="1"/>
        <v>54.62652265713821</v>
      </c>
      <c r="I34" s="95"/>
      <c r="L34" s="83"/>
      <c r="M34" s="83"/>
    </row>
    <row r="35" spans="1:13">
      <c r="A35" s="83" t="s">
        <v>72</v>
      </c>
      <c r="B35" s="82">
        <f>VLOOKUP(A35,[2]MGMA!$A:$AV,48,FALSE)</f>
        <v>39.117515209734229</v>
      </c>
      <c r="C35" s="83" t="s">
        <v>313</v>
      </c>
      <c r="E35" s="83"/>
      <c r="F35" s="93">
        <f t="shared" si="0"/>
        <v>39.117515209734229</v>
      </c>
      <c r="G35" s="83" t="s">
        <v>313</v>
      </c>
      <c r="H35" s="94">
        <f t="shared" si="1"/>
        <v>39.117515209734229</v>
      </c>
      <c r="I35" s="95"/>
      <c r="L35" s="83"/>
      <c r="M35" s="83"/>
    </row>
    <row r="36" spans="1:13">
      <c r="A36" s="83" t="s">
        <v>73</v>
      </c>
      <c r="B36" s="82">
        <f>VLOOKUP(A36,[2]MGMA!$A:$AV,48,FALSE)</f>
        <v>59.666894781864841</v>
      </c>
      <c r="C36" s="83" t="s">
        <v>313</v>
      </c>
      <c r="E36" s="83"/>
      <c r="F36" s="93">
        <f t="shared" si="0"/>
        <v>59.666894781864841</v>
      </c>
      <c r="G36" s="83" t="s">
        <v>313</v>
      </c>
      <c r="H36" s="94">
        <f t="shared" si="1"/>
        <v>59.666894781864841</v>
      </c>
      <c r="I36" s="95"/>
      <c r="L36" s="83"/>
      <c r="M36" s="83"/>
    </row>
    <row r="37" spans="1:13">
      <c r="A37" s="83" t="s">
        <v>74</v>
      </c>
      <c r="B37" s="82">
        <f>VLOOKUP(A37,[2]MGMA!$A:$AV,48,FALSE)</f>
        <v>35.84485353130016</v>
      </c>
      <c r="C37" s="83" t="s">
        <v>313</v>
      </c>
      <c r="E37" s="83"/>
      <c r="F37" s="93">
        <f t="shared" si="0"/>
        <v>35.84485353130016</v>
      </c>
      <c r="G37" s="83" t="s">
        <v>313</v>
      </c>
      <c r="H37" s="94">
        <f t="shared" si="1"/>
        <v>35.84485353130016</v>
      </c>
      <c r="I37" s="95"/>
      <c r="L37" s="83"/>
      <c r="M37" s="83"/>
    </row>
    <row r="38" spans="1:13">
      <c r="A38" s="83" t="s">
        <v>75</v>
      </c>
      <c r="B38" s="82">
        <f>VLOOKUP(A38,[2]MGMA!$A:$AV,48,FALSE)</f>
        <v>58.414848236259225</v>
      </c>
      <c r="C38" s="83" t="s">
        <v>313</v>
      </c>
      <c r="E38" s="83"/>
      <c r="F38" s="93">
        <f t="shared" si="0"/>
        <v>58.414848236259225</v>
      </c>
      <c r="G38" s="83" t="s">
        <v>313</v>
      </c>
      <c r="H38" s="94">
        <f t="shared" si="1"/>
        <v>58.414848236259225</v>
      </c>
      <c r="I38" s="95"/>
      <c r="L38" s="83"/>
      <c r="M38" s="83"/>
    </row>
    <row r="39" spans="1:13">
      <c r="A39" s="83" t="s">
        <v>76</v>
      </c>
      <c r="B39" s="82">
        <f>VLOOKUP(A39,[2]MGMA!$A:$AV,48,FALSE)</f>
        <v>74.854631257518264</v>
      </c>
      <c r="C39" s="83" t="s">
        <v>313</v>
      </c>
      <c r="E39" s="83"/>
      <c r="F39" s="93">
        <f t="shared" si="0"/>
        <v>74.854631257518264</v>
      </c>
      <c r="G39" s="83" t="s">
        <v>313</v>
      </c>
      <c r="H39" s="94">
        <f t="shared" si="1"/>
        <v>74.854631257518264</v>
      </c>
      <c r="I39" s="95"/>
      <c r="L39" s="83"/>
      <c r="M39" s="83"/>
    </row>
    <row r="40" spans="1:13">
      <c r="A40" s="83" t="s">
        <v>77</v>
      </c>
      <c r="B40" s="82">
        <f>VLOOKUP(A40,[2]MGMA!$A:$AV,48,FALSE)</f>
        <v>60.210523673243962</v>
      </c>
      <c r="C40" s="83" t="s">
        <v>313</v>
      </c>
      <c r="E40" s="83"/>
      <c r="F40" s="93">
        <f t="shared" si="0"/>
        <v>60.210523673243962</v>
      </c>
      <c r="G40" s="83" t="s">
        <v>313</v>
      </c>
      <c r="H40" s="94">
        <f t="shared" si="1"/>
        <v>60.210523673243962</v>
      </c>
      <c r="I40" s="95"/>
      <c r="L40" s="83"/>
      <c r="M40" s="83"/>
    </row>
    <row r="41" spans="1:13">
      <c r="A41" s="83" t="s">
        <v>78</v>
      </c>
      <c r="B41" s="82">
        <f>VLOOKUP(A41,[2]MGMA!$A:$AV,48,FALSE)</f>
        <v>59.080479319675298</v>
      </c>
      <c r="C41" s="83" t="s">
        <v>313</v>
      </c>
      <c r="E41" s="83"/>
      <c r="F41" s="93">
        <f t="shared" si="0"/>
        <v>59.080479319675298</v>
      </c>
      <c r="G41" s="83" t="s">
        <v>313</v>
      </c>
      <c r="H41" s="94">
        <f t="shared" si="1"/>
        <v>59.080479319675298</v>
      </c>
      <c r="I41" s="95"/>
      <c r="L41" s="83"/>
      <c r="M41" s="83"/>
    </row>
    <row r="42" spans="1:13">
      <c r="A42" s="83" t="s">
        <v>79</v>
      </c>
      <c r="B42" s="82">
        <f>VLOOKUP(A42,[2]MGMA!$A:$AV,48,FALSE)</f>
        <v>48.892616885301045</v>
      </c>
      <c r="C42" s="83" t="s">
        <v>313</v>
      </c>
      <c r="E42" s="83"/>
      <c r="F42" s="93">
        <f t="shared" si="0"/>
        <v>48.892616885301045</v>
      </c>
      <c r="G42" s="83" t="s">
        <v>313</v>
      </c>
      <c r="H42" s="94">
        <f t="shared" si="1"/>
        <v>48.892616885301045</v>
      </c>
      <c r="I42" s="95"/>
      <c r="L42" s="83"/>
      <c r="M42" s="83"/>
    </row>
    <row r="43" spans="1:13">
      <c r="A43" s="83" t="s">
        <v>80</v>
      </c>
      <c r="B43" s="82">
        <f>VLOOKUP(A43,[2]MGMA!$A:$AV,48,FALSE)</f>
        <v>72.878794676237476</v>
      </c>
      <c r="C43" s="83" t="s">
        <v>313</v>
      </c>
      <c r="E43" s="83"/>
      <c r="F43" s="93">
        <f t="shared" si="0"/>
        <v>72.878794676237476</v>
      </c>
      <c r="G43" s="83" t="s">
        <v>313</v>
      </c>
      <c r="H43" s="94">
        <f t="shared" si="1"/>
        <v>72.878794676237476</v>
      </c>
      <c r="I43" s="95"/>
      <c r="L43" s="83"/>
      <c r="M43" s="83"/>
    </row>
    <row r="44" spans="1:13">
      <c r="A44" s="83" t="s">
        <v>81</v>
      </c>
      <c r="B44" s="82">
        <f>VLOOKUP(A44,[2]MGMA!$A:$AV,48,FALSE)</f>
        <v>57.264015416958657</v>
      </c>
      <c r="C44" s="83" t="s">
        <v>313</v>
      </c>
      <c r="E44" s="83"/>
      <c r="F44" s="93">
        <f t="shared" si="0"/>
        <v>57.264015416958657</v>
      </c>
      <c r="G44" s="83" t="s">
        <v>313</v>
      </c>
      <c r="H44" s="94">
        <f t="shared" si="1"/>
        <v>57.264015416958657</v>
      </c>
      <c r="I44" s="95"/>
      <c r="L44" s="83"/>
      <c r="M44" s="83"/>
    </row>
    <row r="45" spans="1:13">
      <c r="A45" s="83" t="s">
        <v>82</v>
      </c>
      <c r="B45" s="82">
        <f>VLOOKUP(A45,[2]MGMA!$A:$AV,48,FALSE)</f>
        <v>42.707428455449559</v>
      </c>
      <c r="C45" s="83" t="s">
        <v>313</v>
      </c>
      <c r="E45" s="83"/>
      <c r="F45" s="93">
        <f t="shared" si="0"/>
        <v>42.707428455449559</v>
      </c>
      <c r="G45" s="83" t="s">
        <v>313</v>
      </c>
      <c r="H45" s="94">
        <f t="shared" si="1"/>
        <v>42.707428455449559</v>
      </c>
      <c r="I45" s="95"/>
      <c r="L45" s="83"/>
      <c r="M45" s="83"/>
    </row>
    <row r="46" spans="1:13">
      <c r="A46" s="83" t="s">
        <v>83</v>
      </c>
      <c r="B46" s="82">
        <f>VLOOKUP(A46,[2]MGMA!$A:$AV,48,FALSE)</f>
        <v>38.317190187381186</v>
      </c>
      <c r="C46" s="83" t="s">
        <v>313</v>
      </c>
      <c r="F46" s="93">
        <f t="shared" si="0"/>
        <v>38.317190187381186</v>
      </c>
      <c r="G46" s="83" t="s">
        <v>313</v>
      </c>
      <c r="H46" s="94">
        <f t="shared" si="1"/>
        <v>38.317190187381186</v>
      </c>
      <c r="I46" s="95"/>
      <c r="L46" s="83"/>
      <c r="M46" s="83"/>
    </row>
    <row r="47" spans="1:13">
      <c r="A47" s="83" t="s">
        <v>84</v>
      </c>
      <c r="B47" s="82">
        <f>VLOOKUP(A47,[2]MGMA!$A:$AV,48,FALSE)</f>
        <v>43.312436676798377</v>
      </c>
      <c r="C47" s="83" t="s">
        <v>313</v>
      </c>
      <c r="E47" s="83"/>
      <c r="F47" s="93">
        <f t="shared" si="0"/>
        <v>43.312436676798377</v>
      </c>
      <c r="G47" s="83" t="s">
        <v>313</v>
      </c>
      <c r="H47" s="94">
        <f t="shared" si="1"/>
        <v>43.312436676798377</v>
      </c>
      <c r="I47" s="95"/>
      <c r="L47" s="83"/>
      <c r="M47" s="83"/>
    </row>
    <row r="48" spans="1:13">
      <c r="A48" s="83" t="s">
        <v>85</v>
      </c>
      <c r="B48" s="82">
        <f>VLOOKUP(A48,[2]MGMA!$A:$AV,48,FALSE)</f>
        <v>41.011043037591705</v>
      </c>
      <c r="C48" s="83" t="s">
        <v>313</v>
      </c>
      <c r="E48" s="83"/>
      <c r="F48" s="93">
        <f t="shared" si="0"/>
        <v>41.011043037591705</v>
      </c>
      <c r="G48" s="83" t="s">
        <v>313</v>
      </c>
      <c r="H48" s="94">
        <f t="shared" si="1"/>
        <v>41.011043037591705</v>
      </c>
      <c r="I48" s="95"/>
      <c r="L48" s="83"/>
      <c r="M48" s="83"/>
    </row>
    <row r="49" spans="1:13">
      <c r="A49" s="83" t="s">
        <v>86</v>
      </c>
      <c r="B49" s="82">
        <f>VLOOKUP(A49,[2]MGMA!$A:$AV,48,FALSE)</f>
        <v>38.317190187381186</v>
      </c>
      <c r="C49" s="83" t="s">
        <v>312</v>
      </c>
      <c r="D49" s="83" t="s">
        <v>316</v>
      </c>
      <c r="E49" s="83">
        <v>56.98</v>
      </c>
      <c r="F49" s="93">
        <f t="shared" si="0"/>
        <v>56.98</v>
      </c>
      <c r="G49" s="83" t="s">
        <v>313</v>
      </c>
      <c r="H49" s="94">
        <f t="shared" si="1"/>
        <v>56.98</v>
      </c>
      <c r="I49" s="95"/>
      <c r="L49" s="83"/>
      <c r="M49" s="83"/>
    </row>
    <row r="50" spans="1:13">
      <c r="A50" s="83" t="s">
        <v>281</v>
      </c>
      <c r="B50" s="82">
        <f>VLOOKUP(A50,[2]MGMA!$A:$AV,48,FALSE)</f>
        <v>49.650716586527246</v>
      </c>
      <c r="C50" s="83" t="s">
        <v>312</v>
      </c>
      <c r="D50" s="83" t="s">
        <v>407</v>
      </c>
      <c r="E50" s="83">
        <v>46.01</v>
      </c>
      <c r="F50" s="93">
        <f t="shared" si="0"/>
        <v>46.01</v>
      </c>
      <c r="G50" s="83" t="s">
        <v>313</v>
      </c>
      <c r="H50" s="94">
        <f t="shared" si="1"/>
        <v>46.01</v>
      </c>
      <c r="I50" s="95"/>
      <c r="L50" s="83"/>
      <c r="M50" s="83"/>
    </row>
    <row r="51" spans="1:13">
      <c r="A51" s="83" t="s">
        <v>88</v>
      </c>
      <c r="B51" s="82">
        <f>VLOOKUP(A51,[2]MGMA!$A:$AV,48,FALSE)</f>
        <v>41.881540270429156</v>
      </c>
      <c r="C51" s="83" t="s">
        <v>313</v>
      </c>
      <c r="E51" s="83"/>
      <c r="F51" s="93">
        <f t="shared" si="0"/>
        <v>41.881540270429156</v>
      </c>
      <c r="G51" s="83" t="s">
        <v>313</v>
      </c>
      <c r="H51" s="94">
        <f t="shared" si="1"/>
        <v>41.881540270429156</v>
      </c>
      <c r="I51" s="95"/>
      <c r="L51" s="83"/>
      <c r="M51" s="83"/>
    </row>
    <row r="52" spans="1:13">
      <c r="A52" s="83" t="s">
        <v>89</v>
      </c>
      <c r="B52" s="82">
        <f>VLOOKUP(A52,[2]MGMA!$A:$AV,48,FALSE)</f>
        <v>52.119507908611602</v>
      </c>
      <c r="C52" s="83" t="s">
        <v>313</v>
      </c>
      <c r="E52" s="83"/>
      <c r="F52" s="93">
        <f t="shared" si="0"/>
        <v>52.119507908611602</v>
      </c>
      <c r="G52" s="83" t="s">
        <v>313</v>
      </c>
      <c r="H52" s="94">
        <f t="shared" si="1"/>
        <v>52.119507908611602</v>
      </c>
      <c r="I52" s="95"/>
      <c r="L52" s="83"/>
      <c r="M52" s="83"/>
    </row>
    <row r="53" spans="1:13">
      <c r="A53" s="83" t="s">
        <v>90</v>
      </c>
      <c r="B53" s="82">
        <f>VLOOKUP(A53,[2]MGMA!$A:$AV,48,FALSE)</f>
        <v>54.862654320987652</v>
      </c>
      <c r="C53" s="83" t="s">
        <v>313</v>
      </c>
      <c r="E53" s="83"/>
      <c r="F53" s="93">
        <f t="shared" si="0"/>
        <v>54.862654320987652</v>
      </c>
      <c r="G53" s="83" t="s">
        <v>313</v>
      </c>
      <c r="H53" s="94">
        <f t="shared" si="1"/>
        <v>54.862654320987652</v>
      </c>
      <c r="I53" s="95"/>
      <c r="L53" s="83"/>
      <c r="M53" s="83"/>
    </row>
    <row r="54" spans="1:13">
      <c r="A54" s="83" t="s">
        <v>91</v>
      </c>
      <c r="B54" s="82">
        <f>VLOOKUP(A54,[2]MGMA!$A:$AV,48,FALSE)</f>
        <v>59.033218742993796</v>
      </c>
      <c r="C54" s="83" t="s">
        <v>313</v>
      </c>
      <c r="E54" s="83"/>
      <c r="F54" s="93">
        <f t="shared" si="0"/>
        <v>59.033218742993796</v>
      </c>
      <c r="G54" s="83" t="s">
        <v>313</v>
      </c>
      <c r="H54" s="94">
        <f t="shared" si="1"/>
        <v>59.033218742993796</v>
      </c>
      <c r="I54" s="95"/>
      <c r="L54" s="83"/>
      <c r="M54" s="83"/>
    </row>
    <row r="55" spans="1:13">
      <c r="A55" s="83" t="s">
        <v>92</v>
      </c>
      <c r="B55" s="82">
        <f>VLOOKUP(A55,[2]MGMA!$A:$AV,48,FALSE)</f>
        <v>53.512736572890027</v>
      </c>
      <c r="C55" s="83" t="s">
        <v>313</v>
      </c>
      <c r="E55" s="83"/>
      <c r="F55" s="93">
        <f t="shared" si="0"/>
        <v>53.512736572890027</v>
      </c>
      <c r="G55" s="83" t="s">
        <v>313</v>
      </c>
      <c r="H55" s="94">
        <f t="shared" si="1"/>
        <v>53.512736572890027</v>
      </c>
      <c r="I55" s="95"/>
      <c r="L55" s="83"/>
      <c r="M55" s="83"/>
    </row>
    <row r="56" spans="1:13">
      <c r="A56" s="83" t="s">
        <v>93</v>
      </c>
      <c r="B56" s="82">
        <f>VLOOKUP(A56,[2]MGMA!$A:$AV,48,FALSE)</f>
        <v>53.276025392231027</v>
      </c>
      <c r="C56" s="83" t="s">
        <v>313</v>
      </c>
      <c r="F56" s="93">
        <f t="shared" si="0"/>
        <v>53.276025392231027</v>
      </c>
      <c r="G56" s="83" t="s">
        <v>313</v>
      </c>
      <c r="H56" s="94">
        <f t="shared" si="1"/>
        <v>53.276025392231027</v>
      </c>
      <c r="I56" s="95"/>
      <c r="L56" s="83"/>
      <c r="M56" s="83"/>
    </row>
    <row r="57" spans="1:13">
      <c r="A57" s="83" t="s">
        <v>94</v>
      </c>
      <c r="B57" s="82">
        <f>VLOOKUP(A57,[2]MGMA!$A:$AV,48,FALSE)</f>
        <v>61.334745942280797</v>
      </c>
      <c r="C57" s="83" t="s">
        <v>313</v>
      </c>
      <c r="D57" s="98"/>
      <c r="E57" s="98"/>
      <c r="F57" s="93">
        <f t="shared" si="0"/>
        <v>61.334745942280797</v>
      </c>
      <c r="G57" s="98" t="s">
        <v>313</v>
      </c>
      <c r="H57" s="94">
        <f t="shared" si="1"/>
        <v>61.334745942280797</v>
      </c>
      <c r="I57" s="95"/>
      <c r="L57" s="83"/>
      <c r="M57" s="83"/>
    </row>
    <row r="58" spans="1:13">
      <c r="A58" s="83" t="s">
        <v>95</v>
      </c>
      <c r="B58" s="82">
        <f>VLOOKUP(A58,[2]MGMA!$A:$AV,48,FALSE)</f>
        <v>59.033218742993796</v>
      </c>
      <c r="C58" s="83" t="s">
        <v>313</v>
      </c>
      <c r="E58" s="83"/>
      <c r="F58" s="93">
        <f t="shared" si="0"/>
        <v>59.033218742993796</v>
      </c>
      <c r="G58" s="83" t="s">
        <v>313</v>
      </c>
      <c r="H58" s="94">
        <f t="shared" si="1"/>
        <v>59.033218742993796</v>
      </c>
      <c r="I58" s="95"/>
      <c r="L58" s="83"/>
      <c r="M58" s="83"/>
    </row>
    <row r="59" spans="1:13">
      <c r="A59" s="83" t="s">
        <v>96</v>
      </c>
      <c r="B59" s="82">
        <f>VLOOKUP(A59,[2]MGMA!$A:$AV,48,FALSE)</f>
        <v>60.366069477823899</v>
      </c>
      <c r="C59" s="83" t="s">
        <v>313</v>
      </c>
      <c r="E59" s="83"/>
      <c r="F59" s="93">
        <f t="shared" si="0"/>
        <v>60.366069477823899</v>
      </c>
      <c r="G59" s="83" t="s">
        <v>313</v>
      </c>
      <c r="H59" s="94">
        <f t="shared" si="1"/>
        <v>60.366069477823899</v>
      </c>
      <c r="I59" s="95"/>
      <c r="L59" s="83"/>
      <c r="M59" s="83"/>
    </row>
    <row r="60" spans="1:13">
      <c r="A60" s="83" t="s">
        <v>97</v>
      </c>
      <c r="B60" s="82">
        <f>VLOOKUP(A60,[2]MGMA!$A:$AV,48,FALSE)</f>
        <v>65.091324200913235</v>
      </c>
      <c r="C60" s="83" t="s">
        <v>313</v>
      </c>
      <c r="E60" s="83"/>
      <c r="F60" s="93">
        <f t="shared" si="0"/>
        <v>65.091324200913235</v>
      </c>
      <c r="G60" s="83" t="s">
        <v>313</v>
      </c>
      <c r="H60" s="94">
        <f t="shared" si="1"/>
        <v>65.091324200913235</v>
      </c>
      <c r="I60" s="95"/>
      <c r="L60" s="83"/>
      <c r="M60" s="83"/>
    </row>
    <row r="61" spans="1:13">
      <c r="A61" s="83" t="s">
        <v>98</v>
      </c>
      <c r="B61" s="82">
        <f>VLOOKUP(A61,[2]MGMA!$A:$AV,48,FALSE)</f>
        <v>68.632913695240859</v>
      </c>
      <c r="C61" s="83" t="s">
        <v>313</v>
      </c>
      <c r="E61" s="83"/>
      <c r="F61" s="93">
        <f t="shared" si="0"/>
        <v>68.632913695240859</v>
      </c>
      <c r="G61" s="83" t="s">
        <v>313</v>
      </c>
      <c r="H61" s="94">
        <f t="shared" si="1"/>
        <v>68.632913695240859</v>
      </c>
      <c r="I61" s="95"/>
      <c r="L61" s="83"/>
      <c r="M61" s="83"/>
    </row>
    <row r="62" spans="1:13">
      <c r="A62" s="83" t="s">
        <v>99</v>
      </c>
      <c r="B62" s="82">
        <f>VLOOKUP(A62,[2]MGMA!$A:$AV,48,FALSE)</f>
        <v>49.675451971248094</v>
      </c>
      <c r="C62" s="83" t="s">
        <v>313</v>
      </c>
      <c r="E62" s="83"/>
      <c r="F62" s="93">
        <f t="shared" si="0"/>
        <v>49.675451971248094</v>
      </c>
      <c r="G62" s="83" t="s">
        <v>313</v>
      </c>
      <c r="H62" s="94">
        <f t="shared" si="1"/>
        <v>49.675451971248094</v>
      </c>
      <c r="I62" s="95"/>
      <c r="L62" s="83"/>
      <c r="M62" s="83"/>
    </row>
    <row r="63" spans="1:13">
      <c r="A63" s="83" t="s">
        <v>282</v>
      </c>
      <c r="B63" s="82">
        <f>VLOOKUP(A63,[2]MGMA!$A:$AV,48,FALSE)</f>
        <v>77.611008472956627</v>
      </c>
      <c r="C63" s="83" t="s">
        <v>313</v>
      </c>
      <c r="E63" s="83"/>
      <c r="F63" s="93">
        <f t="shared" si="0"/>
        <v>77.611008472956627</v>
      </c>
      <c r="G63" s="83" t="s">
        <v>313</v>
      </c>
      <c r="H63" s="94">
        <f t="shared" si="1"/>
        <v>77.611008472956627</v>
      </c>
      <c r="I63" s="95"/>
      <c r="L63" s="83"/>
      <c r="M63" s="83"/>
    </row>
    <row r="64" spans="1:13">
      <c r="A64" s="83" t="s">
        <v>100</v>
      </c>
      <c r="B64" s="82">
        <f>VLOOKUP(A64,[2]MGMA!$A:$AV,48,FALSE)</f>
        <v>40.362280701754386</v>
      </c>
      <c r="C64" s="83" t="s">
        <v>313</v>
      </c>
      <c r="F64" s="93">
        <f t="shared" si="0"/>
        <v>40.362280701754386</v>
      </c>
      <c r="G64" s="83" t="s">
        <v>313</v>
      </c>
      <c r="H64" s="94">
        <f t="shared" si="1"/>
        <v>40.362280701754386</v>
      </c>
      <c r="I64" s="95"/>
      <c r="L64" s="83"/>
      <c r="M64" s="83"/>
    </row>
    <row r="65" spans="1:15">
      <c r="A65" s="83" t="s">
        <v>101</v>
      </c>
      <c r="B65" s="82">
        <f>VLOOKUP(A65,[2]MGMA!$A:$AV,48,FALSE)</f>
        <v>42.853263180272108</v>
      </c>
      <c r="C65" s="83" t="s">
        <v>313</v>
      </c>
      <c r="F65" s="93">
        <f t="shared" si="0"/>
        <v>42.853263180272108</v>
      </c>
      <c r="G65" s="83" t="s">
        <v>313</v>
      </c>
      <c r="H65" s="94">
        <f t="shared" si="1"/>
        <v>42.853263180272108</v>
      </c>
      <c r="I65" s="95"/>
      <c r="L65" s="83"/>
      <c r="M65" s="83"/>
    </row>
    <row r="66" spans="1:15">
      <c r="A66" s="83" t="s">
        <v>102</v>
      </c>
      <c r="B66" s="82">
        <v>40.36</v>
      </c>
      <c r="C66" s="83" t="s">
        <v>313</v>
      </c>
      <c r="E66" s="83"/>
      <c r="F66" s="93">
        <f t="shared" si="0"/>
        <v>40.36</v>
      </c>
      <c r="G66" s="83" t="s">
        <v>313</v>
      </c>
      <c r="H66" s="94">
        <f t="shared" si="1"/>
        <v>40.36</v>
      </c>
      <c r="I66" s="95"/>
      <c r="L66" s="83"/>
      <c r="M66" s="83"/>
    </row>
    <row r="67" spans="1:15">
      <c r="A67" s="83" t="s">
        <v>103</v>
      </c>
      <c r="B67" s="82">
        <f>VLOOKUP(A67,[2]MGMA!$A:$AV,48,FALSE)</f>
        <v>40.362280701754386</v>
      </c>
      <c r="C67" s="83" t="s">
        <v>313</v>
      </c>
      <c r="E67" s="83"/>
      <c r="F67" s="93">
        <f t="shared" si="0"/>
        <v>40.362280701754386</v>
      </c>
      <c r="G67" s="83" t="s">
        <v>313</v>
      </c>
      <c r="H67" s="94">
        <f t="shared" si="1"/>
        <v>40.362280701754386</v>
      </c>
      <c r="I67" s="95"/>
      <c r="L67" s="83"/>
      <c r="M67" s="83"/>
    </row>
    <row r="68" spans="1:15">
      <c r="A68" s="83" t="s">
        <v>104</v>
      </c>
      <c r="B68" s="82">
        <f>VLOOKUP(A68,[2]MGMA!$A:$AV,48,FALSE)</f>
        <v>40.362280701754386</v>
      </c>
      <c r="C68" s="83" t="s">
        <v>313</v>
      </c>
      <c r="E68" s="83"/>
      <c r="F68" s="93">
        <f t="shared" si="0"/>
        <v>40.362280701754386</v>
      </c>
      <c r="G68" s="83" t="s">
        <v>313</v>
      </c>
      <c r="H68" s="94">
        <f t="shared" si="1"/>
        <v>40.362280701754386</v>
      </c>
      <c r="I68" s="95"/>
      <c r="L68" s="83"/>
      <c r="M68" s="83"/>
    </row>
    <row r="69" spans="1:15">
      <c r="A69" s="83" t="s">
        <v>105</v>
      </c>
      <c r="B69" s="82">
        <f>VLOOKUP(A69,[2]MGMA!$A:$AV,48,FALSE)</f>
        <v>40.362280701754386</v>
      </c>
      <c r="C69" s="83" t="s">
        <v>313</v>
      </c>
      <c r="E69" s="83"/>
      <c r="F69" s="93">
        <f t="shared" si="0"/>
        <v>40.362280701754386</v>
      </c>
      <c r="G69" s="83" t="s">
        <v>313</v>
      </c>
      <c r="H69" s="94">
        <f t="shared" si="1"/>
        <v>40.362280701754386</v>
      </c>
      <c r="I69" s="95"/>
      <c r="L69" s="83"/>
      <c r="M69" s="83"/>
    </row>
    <row r="70" spans="1:15">
      <c r="A70" s="83" t="s">
        <v>106</v>
      </c>
      <c r="B70" s="82">
        <f>VLOOKUP(A70,[2]MGMA!$A:$AV,48,FALSE)</f>
        <v>55.34936824478612</v>
      </c>
      <c r="C70" s="83" t="s">
        <v>313</v>
      </c>
      <c r="E70" s="83"/>
      <c r="F70" s="93">
        <f t="shared" ref="F70:F134" si="2">IF(E70="",B70,E70)</f>
        <v>55.34936824478612</v>
      </c>
      <c r="G70" s="83" t="s">
        <v>313</v>
      </c>
      <c r="H70" s="94">
        <f t="shared" ref="H70:H134" si="3">IF(G70="Yes",F70*1.25,F70)</f>
        <v>55.34936824478612</v>
      </c>
      <c r="I70" s="95"/>
      <c r="L70" s="83"/>
      <c r="M70" s="83"/>
    </row>
    <row r="71" spans="1:15">
      <c r="A71" s="83" t="s">
        <v>107</v>
      </c>
      <c r="B71" s="82">
        <f>VLOOKUP(A71,[2]MGMA!$A:$AV,48,FALSE)</f>
        <v>43.504160845532404</v>
      </c>
      <c r="C71" s="83" t="s">
        <v>313</v>
      </c>
      <c r="F71" s="93">
        <f t="shared" si="2"/>
        <v>43.504160845532404</v>
      </c>
      <c r="G71" s="83" t="s">
        <v>313</v>
      </c>
      <c r="H71" s="94">
        <f t="shared" si="3"/>
        <v>43.504160845532404</v>
      </c>
      <c r="I71" s="95"/>
      <c r="L71" s="83"/>
      <c r="M71" s="83"/>
    </row>
    <row r="72" spans="1:15">
      <c r="A72" s="83" t="s">
        <v>283</v>
      </c>
      <c r="B72" s="82">
        <f>VLOOKUP(A72,[2]MGMA!$A:$AV,48,FALSE)</f>
        <v>55.34936824478612</v>
      </c>
      <c r="C72" s="83" t="s">
        <v>313</v>
      </c>
      <c r="E72" s="83"/>
      <c r="F72" s="93">
        <f t="shared" si="2"/>
        <v>55.34936824478612</v>
      </c>
      <c r="G72" s="83" t="s">
        <v>313</v>
      </c>
      <c r="H72" s="94">
        <f t="shared" si="3"/>
        <v>55.34936824478612</v>
      </c>
      <c r="I72" s="95"/>
      <c r="L72" s="83"/>
      <c r="M72" s="83"/>
    </row>
    <row r="73" spans="1:15">
      <c r="A73" s="83" t="s">
        <v>108</v>
      </c>
      <c r="B73" s="82">
        <f>VLOOKUP(A73,[2]MGMA!$A:$AV,48,FALSE)</f>
        <v>36.573395868675775</v>
      </c>
      <c r="C73" s="83" t="s">
        <v>313</v>
      </c>
      <c r="F73" s="93">
        <f t="shared" si="2"/>
        <v>36.573395868675775</v>
      </c>
      <c r="G73" s="83" t="s">
        <v>313</v>
      </c>
      <c r="H73" s="94">
        <f t="shared" si="3"/>
        <v>36.573395868675775</v>
      </c>
      <c r="I73" s="95"/>
      <c r="L73" s="83"/>
      <c r="M73" s="83"/>
    </row>
    <row r="74" spans="1:15">
      <c r="A74" s="83" t="s">
        <v>109</v>
      </c>
      <c r="B74" s="82">
        <f>VLOOKUP(A74,[2]MGMA!$A:$AV,48,FALSE)</f>
        <v>61.812827079389827</v>
      </c>
      <c r="C74" s="83" t="s">
        <v>313</v>
      </c>
      <c r="F74" s="93">
        <f t="shared" si="2"/>
        <v>61.812827079389827</v>
      </c>
      <c r="G74" s="83" t="s">
        <v>312</v>
      </c>
      <c r="H74" s="94">
        <f t="shared" si="3"/>
        <v>77.266033849237289</v>
      </c>
      <c r="I74" s="95"/>
      <c r="L74" s="83"/>
      <c r="M74" s="83"/>
    </row>
    <row r="75" spans="1:15">
      <c r="A75" s="83" t="s">
        <v>111</v>
      </c>
      <c r="B75" s="82">
        <f>VLOOKUP(A75,[2]MGMA!$A:$AV,48,FALSE)</f>
        <v>64.88</v>
      </c>
      <c r="C75" s="83" t="s">
        <v>313</v>
      </c>
      <c r="D75" s="83" t="s">
        <v>314</v>
      </c>
      <c r="F75" s="93">
        <f t="shared" si="2"/>
        <v>64.88</v>
      </c>
      <c r="G75" s="83" t="s">
        <v>312</v>
      </c>
      <c r="H75" s="94">
        <f t="shared" si="3"/>
        <v>81.099999999999994</v>
      </c>
      <c r="I75" s="84">
        <v>41.51</v>
      </c>
      <c r="J75" s="83" t="s">
        <v>313</v>
      </c>
      <c r="K75" s="83" t="s">
        <v>111</v>
      </c>
      <c r="M75" s="82">
        <f>IF(L75="",I75,L75)</f>
        <v>41.51</v>
      </c>
      <c r="N75" s="96" t="s">
        <v>312</v>
      </c>
      <c r="O75" s="94">
        <f>IF(N75="Yes",M75*1.25,M75)</f>
        <v>51.887499999999996</v>
      </c>
    </row>
    <row r="76" spans="1:15">
      <c r="A76" s="83" t="s">
        <v>110</v>
      </c>
      <c r="B76" s="82">
        <f>VLOOKUP(A76,[2]MGMA!$A:$AV,48,FALSE)</f>
        <v>61.778400517352878</v>
      </c>
      <c r="C76" s="83" t="s">
        <v>313</v>
      </c>
      <c r="F76" s="93">
        <f t="shared" si="2"/>
        <v>61.778400517352878</v>
      </c>
      <c r="G76" s="83" t="s">
        <v>312</v>
      </c>
      <c r="H76" s="94">
        <f t="shared" si="3"/>
        <v>77.223000646691105</v>
      </c>
      <c r="I76" s="95"/>
      <c r="L76" s="83"/>
      <c r="M76" s="83"/>
    </row>
    <row r="77" spans="1:15">
      <c r="A77" s="83" t="s">
        <v>112</v>
      </c>
      <c r="B77" s="82">
        <f>VLOOKUP(A77,[2]MGMA!$A:$AV,48,FALSE)</f>
        <v>44.316522614752031</v>
      </c>
      <c r="C77" s="83" t="s">
        <v>312</v>
      </c>
      <c r="D77" s="83" t="s">
        <v>417</v>
      </c>
      <c r="E77" s="97">
        <v>101.45</v>
      </c>
      <c r="F77" s="93">
        <f t="shared" si="2"/>
        <v>101.45</v>
      </c>
      <c r="G77" s="83" t="s">
        <v>313</v>
      </c>
      <c r="H77" s="94">
        <f t="shared" si="3"/>
        <v>101.45</v>
      </c>
      <c r="O77" s="94"/>
    </row>
    <row r="78" spans="1:15">
      <c r="A78" s="83" t="s">
        <v>113</v>
      </c>
      <c r="B78" s="82">
        <f>VLOOKUP(A78,[2]MGMA!$A:$AV,48,FALSE)</f>
        <v>63.385120183136209</v>
      </c>
      <c r="C78" s="83" t="s">
        <v>313</v>
      </c>
      <c r="E78" s="83"/>
      <c r="F78" s="93">
        <f t="shared" si="2"/>
        <v>63.385120183136209</v>
      </c>
      <c r="G78" s="83" t="s">
        <v>312</v>
      </c>
      <c r="H78" s="94">
        <f t="shared" si="3"/>
        <v>79.231400228920265</v>
      </c>
      <c r="I78" s="95"/>
      <c r="L78" s="83"/>
      <c r="M78" s="83"/>
    </row>
    <row r="79" spans="1:15">
      <c r="A79" s="83" t="s">
        <v>114</v>
      </c>
      <c r="B79" s="82">
        <f>VLOOKUP(A79,[2]MGMA!$A:$AV,48,FALSE)</f>
        <v>94.046143996848215</v>
      </c>
      <c r="C79" s="83" t="s">
        <v>313</v>
      </c>
      <c r="E79" s="83"/>
      <c r="F79" s="93">
        <f t="shared" si="2"/>
        <v>94.046143996848215</v>
      </c>
      <c r="G79" s="83" t="s">
        <v>312</v>
      </c>
      <c r="H79" s="94">
        <f t="shared" si="3"/>
        <v>117.55767999606027</v>
      </c>
      <c r="I79" s="95"/>
      <c r="L79" s="83"/>
      <c r="M79" s="83"/>
    </row>
    <row r="80" spans="1:15">
      <c r="A80" s="83" t="s">
        <v>115</v>
      </c>
      <c r="B80" s="82">
        <f>VLOOKUP(A80,[2]MGMA!$A:$AV,48,FALSE)</f>
        <v>64.873440514469465</v>
      </c>
      <c r="C80" s="83" t="s">
        <v>313</v>
      </c>
      <c r="E80" s="83"/>
      <c r="F80" s="93">
        <f t="shared" si="2"/>
        <v>64.873440514469465</v>
      </c>
      <c r="G80" s="83" t="s">
        <v>312</v>
      </c>
      <c r="H80" s="94">
        <f t="shared" si="3"/>
        <v>81.091800643086827</v>
      </c>
      <c r="I80" s="95"/>
      <c r="L80" s="83"/>
      <c r="M80" s="83"/>
    </row>
    <row r="81" spans="1:13">
      <c r="A81" s="83" t="s">
        <v>116</v>
      </c>
      <c r="B81" s="82">
        <f>VLOOKUP(A81,[2]MGMA!$A:$AV,48,FALSE)</f>
        <v>46.41056641271944</v>
      </c>
      <c r="C81" s="83" t="s">
        <v>313</v>
      </c>
      <c r="E81" s="83"/>
      <c r="F81" s="93">
        <f t="shared" si="2"/>
        <v>46.41056641271944</v>
      </c>
      <c r="G81" s="83" t="s">
        <v>312</v>
      </c>
      <c r="H81" s="94">
        <f t="shared" si="3"/>
        <v>58.013208015899302</v>
      </c>
      <c r="I81" s="95"/>
      <c r="L81" s="83"/>
      <c r="M81" s="83"/>
    </row>
    <row r="82" spans="1:13">
      <c r="A82" s="83" t="s">
        <v>117</v>
      </c>
      <c r="B82" s="82">
        <f>VLOOKUP(A82,[2]MGMA!$A:$AV,48,FALSE)</f>
        <v>48.644681071022426</v>
      </c>
      <c r="C82" s="83" t="s">
        <v>312</v>
      </c>
      <c r="D82" s="83" t="s">
        <v>415</v>
      </c>
      <c r="E82" s="83">
        <v>78.959999999999994</v>
      </c>
      <c r="F82" s="93">
        <f t="shared" si="2"/>
        <v>78.959999999999994</v>
      </c>
      <c r="G82" s="83" t="s">
        <v>313</v>
      </c>
      <c r="H82" s="94">
        <f t="shared" si="3"/>
        <v>78.959999999999994</v>
      </c>
      <c r="I82" s="95"/>
      <c r="L82" s="83"/>
      <c r="M82" s="83"/>
    </row>
    <row r="83" spans="1:13">
      <c r="A83" s="83" t="s">
        <v>118</v>
      </c>
      <c r="B83" s="82">
        <f>VLOOKUP(A83,[2]MGMA!$A:$AV,48,FALSE)</f>
        <v>45.529598182253046</v>
      </c>
      <c r="C83" s="83" t="s">
        <v>313</v>
      </c>
      <c r="E83" s="83"/>
      <c r="F83" s="93">
        <f t="shared" si="2"/>
        <v>45.529598182253046</v>
      </c>
      <c r="G83" s="100" t="s">
        <v>312</v>
      </c>
      <c r="H83" s="94">
        <f t="shared" si="3"/>
        <v>56.911997727816306</v>
      </c>
      <c r="I83" s="95"/>
      <c r="L83" s="83"/>
      <c r="M83" s="83"/>
    </row>
    <row r="84" spans="1:13">
      <c r="A84" s="83" t="s">
        <v>119</v>
      </c>
      <c r="B84" s="82">
        <f>VLOOKUP(A84,[2]MGMA!$A:$AV,48,FALSE)</f>
        <v>58.911978021978015</v>
      </c>
      <c r="C84" s="83" t="s">
        <v>313</v>
      </c>
      <c r="E84" s="83"/>
      <c r="F84" s="93">
        <f t="shared" si="2"/>
        <v>58.911978021978015</v>
      </c>
      <c r="G84" s="83" t="s">
        <v>312</v>
      </c>
      <c r="H84" s="94">
        <f t="shared" si="3"/>
        <v>73.639972527472523</v>
      </c>
      <c r="I84" s="95"/>
      <c r="L84" s="83"/>
      <c r="M84" s="83"/>
    </row>
    <row r="85" spans="1:13">
      <c r="A85" s="83" t="s">
        <v>120</v>
      </c>
      <c r="B85" s="82">
        <f>VLOOKUP(A85,[2]MGMA!$A:$AV,48,FALSE)</f>
        <v>58.437510541406645</v>
      </c>
      <c r="C85" s="83" t="s">
        <v>313</v>
      </c>
      <c r="E85" s="83"/>
      <c r="F85" s="93">
        <f t="shared" si="2"/>
        <v>58.437510541406645</v>
      </c>
      <c r="G85" s="83" t="s">
        <v>312</v>
      </c>
      <c r="H85" s="94">
        <f t="shared" si="3"/>
        <v>73.046888176758301</v>
      </c>
      <c r="I85" s="95"/>
      <c r="L85" s="83"/>
      <c r="M85" s="83"/>
    </row>
    <row r="86" spans="1:13">
      <c r="A86" s="83" t="s">
        <v>121</v>
      </c>
      <c r="B86" s="82">
        <f>VLOOKUP(A86,[2]MGMA!$A:$AV,48,FALSE)</f>
        <v>44.316522614752031</v>
      </c>
      <c r="C86" s="83" t="s">
        <v>313</v>
      </c>
      <c r="E86" s="83"/>
      <c r="F86" s="93">
        <f t="shared" si="2"/>
        <v>44.316522614752031</v>
      </c>
      <c r="G86" s="83" t="s">
        <v>312</v>
      </c>
      <c r="H86" s="94">
        <f t="shared" si="3"/>
        <v>55.395653268440043</v>
      </c>
      <c r="I86" s="95"/>
      <c r="L86" s="83"/>
      <c r="M86" s="83"/>
    </row>
    <row r="87" spans="1:13">
      <c r="A87" s="83" t="s">
        <v>122</v>
      </c>
      <c r="B87" s="82">
        <f>VLOOKUP(A87,[2]MGMA!$A:$AV,48,FALSE)</f>
        <v>85.161810466760969</v>
      </c>
      <c r="C87" s="83" t="s">
        <v>313</v>
      </c>
      <c r="E87" s="83"/>
      <c r="F87" s="93">
        <f t="shared" si="2"/>
        <v>85.161810466760969</v>
      </c>
      <c r="G87" s="83" t="s">
        <v>312</v>
      </c>
      <c r="H87" s="94">
        <f t="shared" si="3"/>
        <v>106.45226308345121</v>
      </c>
      <c r="I87" s="95"/>
      <c r="L87" s="83"/>
      <c r="M87" s="83"/>
    </row>
    <row r="88" spans="1:13">
      <c r="A88" s="83" t="s">
        <v>123</v>
      </c>
      <c r="B88" s="82">
        <f>VLOOKUP(A88,[2]MGMA!$A:$AV,48,FALSE)</f>
        <v>67.503275230376374</v>
      </c>
      <c r="C88" s="83" t="s">
        <v>313</v>
      </c>
      <c r="F88" s="93">
        <f t="shared" si="2"/>
        <v>67.503275230376374</v>
      </c>
      <c r="G88" s="83" t="s">
        <v>312</v>
      </c>
      <c r="H88" s="94">
        <f t="shared" si="3"/>
        <v>84.379094037970475</v>
      </c>
      <c r="I88" s="95"/>
      <c r="L88" s="83"/>
      <c r="M88" s="83"/>
    </row>
    <row r="89" spans="1:13">
      <c r="A89" s="83" t="s">
        <v>124</v>
      </c>
      <c r="B89" s="82">
        <f>VLOOKUP(A89,[2]MGMA!$A:$AV,48,FALSE)</f>
        <v>86.749623607347175</v>
      </c>
      <c r="C89" s="83" t="s">
        <v>313</v>
      </c>
      <c r="F89" s="93">
        <f t="shared" si="2"/>
        <v>86.749623607347175</v>
      </c>
      <c r="G89" s="83" t="s">
        <v>312</v>
      </c>
      <c r="H89" s="94">
        <f t="shared" si="3"/>
        <v>108.43702950918397</v>
      </c>
      <c r="I89" s="95"/>
      <c r="L89" s="83"/>
      <c r="M89" s="83"/>
    </row>
    <row r="90" spans="1:13">
      <c r="A90" s="83" t="s">
        <v>125</v>
      </c>
      <c r="B90" s="82">
        <f>VLOOKUP(A90,[2]MGMA!$A:$AV,48,FALSE)</f>
        <v>44.316522614752031</v>
      </c>
      <c r="C90" s="83" t="s">
        <v>313</v>
      </c>
      <c r="F90" s="93">
        <f t="shared" si="2"/>
        <v>44.316522614752031</v>
      </c>
      <c r="G90" s="83" t="s">
        <v>312</v>
      </c>
      <c r="H90" s="94">
        <f t="shared" si="3"/>
        <v>55.395653268440043</v>
      </c>
      <c r="I90" s="95"/>
      <c r="L90" s="83"/>
      <c r="M90" s="83"/>
    </row>
    <row r="91" spans="1:13">
      <c r="A91" s="83" t="s">
        <v>126</v>
      </c>
      <c r="B91" s="82">
        <f>VLOOKUP(A91,[2]MGMA!$A:$AV,48,FALSE)</f>
        <v>105.01412695422866</v>
      </c>
      <c r="C91" s="83" t="s">
        <v>313</v>
      </c>
      <c r="D91" s="101"/>
      <c r="E91" s="83"/>
      <c r="F91" s="93">
        <f t="shared" si="2"/>
        <v>105.01412695422866</v>
      </c>
      <c r="G91" s="83" t="s">
        <v>312</v>
      </c>
      <c r="H91" s="94">
        <f t="shared" si="3"/>
        <v>131.26765869278583</v>
      </c>
      <c r="I91" s="102"/>
      <c r="J91" s="103"/>
      <c r="L91" s="83"/>
      <c r="M91" s="83"/>
    </row>
    <row r="92" spans="1:13">
      <c r="A92" s="83" t="s">
        <v>127</v>
      </c>
      <c r="B92" s="82">
        <f>VLOOKUP(A92,[2]MGMA!$A:$AV,48,FALSE)</f>
        <v>44.316522614752031</v>
      </c>
      <c r="C92" s="83" t="s">
        <v>313</v>
      </c>
      <c r="E92" s="83"/>
      <c r="F92" s="93">
        <f t="shared" si="2"/>
        <v>44.316522614752031</v>
      </c>
      <c r="G92" s="100" t="s">
        <v>312</v>
      </c>
      <c r="H92" s="94">
        <f t="shared" si="3"/>
        <v>55.395653268440043</v>
      </c>
      <c r="I92" s="95"/>
      <c r="L92" s="83"/>
      <c r="M92" s="83"/>
    </row>
    <row r="93" spans="1:13">
      <c r="A93" s="83" t="s">
        <v>128</v>
      </c>
      <c r="B93" s="82">
        <f>VLOOKUP(A93,[2]MGMA!$A:$AV,48,FALSE)</f>
        <v>27.703021806853581</v>
      </c>
      <c r="C93" s="83" t="s">
        <v>313</v>
      </c>
      <c r="D93" s="101"/>
      <c r="E93" s="83"/>
      <c r="F93" s="93">
        <f t="shared" si="2"/>
        <v>27.703021806853581</v>
      </c>
      <c r="G93" s="83" t="s">
        <v>312</v>
      </c>
      <c r="H93" s="94">
        <f t="shared" si="3"/>
        <v>34.628777258566977</v>
      </c>
      <c r="I93" s="95"/>
      <c r="L93" s="83"/>
      <c r="M93" s="83"/>
    </row>
    <row r="94" spans="1:13">
      <c r="A94" s="83" t="s">
        <v>129</v>
      </c>
      <c r="B94" s="82">
        <f>VLOOKUP(A94,[2]MGMA!$A:$AV,48,FALSE)</f>
        <v>60.399239543726239</v>
      </c>
      <c r="C94" s="83" t="s">
        <v>313</v>
      </c>
      <c r="E94" s="83"/>
      <c r="F94" s="93">
        <f t="shared" si="2"/>
        <v>60.399239543726239</v>
      </c>
      <c r="G94" s="83" t="s">
        <v>312</v>
      </c>
      <c r="H94" s="94">
        <f t="shared" si="3"/>
        <v>75.499049429657802</v>
      </c>
      <c r="I94" s="95"/>
      <c r="L94" s="83"/>
      <c r="M94" s="83"/>
    </row>
    <row r="95" spans="1:13">
      <c r="A95" s="83" t="s">
        <v>284</v>
      </c>
      <c r="B95" s="82">
        <f>VLOOKUP(A95,[2]MGMA!$A:$AV,48,FALSE)</f>
        <v>84.368180007964966</v>
      </c>
      <c r="C95" s="83" t="s">
        <v>312</v>
      </c>
      <c r="D95" s="83" t="s">
        <v>416</v>
      </c>
      <c r="E95" s="83">
        <v>114.25</v>
      </c>
      <c r="F95" s="93">
        <f t="shared" si="2"/>
        <v>114.25</v>
      </c>
      <c r="G95" s="83" t="s">
        <v>313</v>
      </c>
      <c r="H95" s="94">
        <f t="shared" si="3"/>
        <v>114.25</v>
      </c>
      <c r="I95" s="95"/>
      <c r="L95" s="83"/>
      <c r="M95" s="83"/>
    </row>
    <row r="96" spans="1:13">
      <c r="A96" s="83" t="s">
        <v>131</v>
      </c>
      <c r="B96" s="82">
        <f>VLOOKUP(A96,[2]MGMA!$A:$AV,48,FALSE)</f>
        <v>61.355913381454748</v>
      </c>
      <c r="C96" s="83" t="s">
        <v>313</v>
      </c>
      <c r="E96" s="83"/>
      <c r="F96" s="93">
        <f t="shared" si="2"/>
        <v>61.355913381454748</v>
      </c>
      <c r="G96" s="83" t="s">
        <v>312</v>
      </c>
      <c r="H96" s="94">
        <f t="shared" si="3"/>
        <v>76.69489172681844</v>
      </c>
      <c r="I96" s="95"/>
      <c r="L96" s="83"/>
      <c r="M96" s="83"/>
    </row>
    <row r="97" spans="1:13">
      <c r="A97" s="83" t="s">
        <v>132</v>
      </c>
      <c r="B97" s="82">
        <f>VLOOKUP(A97,[2]MGMA!$A:$AV,48,FALSE)</f>
        <v>43.159248367641929</v>
      </c>
      <c r="C97" s="83" t="s">
        <v>313</v>
      </c>
      <c r="E97" s="83"/>
      <c r="F97" s="93">
        <f t="shared" si="2"/>
        <v>43.159248367641929</v>
      </c>
      <c r="G97" s="100" t="s">
        <v>312</v>
      </c>
      <c r="H97" s="94">
        <f t="shared" si="3"/>
        <v>53.949060459552413</v>
      </c>
      <c r="I97" s="95"/>
      <c r="L97" s="83"/>
      <c r="M97" s="83"/>
    </row>
    <row r="98" spans="1:13">
      <c r="A98" s="83" t="s">
        <v>133</v>
      </c>
      <c r="B98" s="82">
        <f>VLOOKUP(A98,[2]MGMA!$A:$AV,48,FALSE)</f>
        <v>73.89153866180682</v>
      </c>
      <c r="C98" s="83" t="s">
        <v>313</v>
      </c>
      <c r="E98" s="83"/>
      <c r="F98" s="93">
        <f t="shared" si="2"/>
        <v>73.89153866180682</v>
      </c>
      <c r="G98" s="83" t="s">
        <v>312</v>
      </c>
      <c r="H98" s="94">
        <f t="shared" si="3"/>
        <v>92.364423327258521</v>
      </c>
      <c r="I98" s="95"/>
      <c r="L98" s="83"/>
      <c r="M98" s="83"/>
    </row>
    <row r="99" spans="1:13">
      <c r="A99" s="83" t="s">
        <v>134</v>
      </c>
      <c r="B99" s="82">
        <f>VLOOKUP(A99,[2]MGMA!$A:$AV,48,FALSE)</f>
        <v>55.239522002704</v>
      </c>
      <c r="C99" s="83" t="s">
        <v>313</v>
      </c>
      <c r="E99" s="83"/>
      <c r="F99" s="93">
        <f t="shared" si="2"/>
        <v>55.239522002704</v>
      </c>
      <c r="G99" s="83" t="s">
        <v>312</v>
      </c>
      <c r="H99" s="94">
        <f t="shared" si="3"/>
        <v>69.049402503379994</v>
      </c>
      <c r="I99" s="95"/>
      <c r="L99" s="83"/>
      <c r="M99" s="83"/>
    </row>
    <row r="100" spans="1:13">
      <c r="A100" s="83" t="s">
        <v>285</v>
      </c>
      <c r="B100" s="82">
        <f>VLOOKUP(A100,[2]MGMA!$A:$AV,48,FALSE)</f>
        <v>51.675801387650687</v>
      </c>
      <c r="C100" s="83" t="s">
        <v>313</v>
      </c>
      <c r="E100" s="83"/>
      <c r="F100" s="93">
        <f t="shared" si="2"/>
        <v>51.675801387650687</v>
      </c>
      <c r="G100" s="83" t="s">
        <v>312</v>
      </c>
      <c r="H100" s="94">
        <f t="shared" si="3"/>
        <v>64.59475173456336</v>
      </c>
      <c r="I100" s="95"/>
      <c r="L100" s="83"/>
      <c r="M100" s="83"/>
    </row>
    <row r="101" spans="1:13">
      <c r="A101" s="83" t="s">
        <v>136</v>
      </c>
      <c r="B101" s="82">
        <f>VLOOKUP(A101,[2]MGMA!$A:$AV,48,FALSE)</f>
        <v>56.324167204946015</v>
      </c>
      <c r="C101" s="83" t="s">
        <v>313</v>
      </c>
      <c r="E101" s="83"/>
      <c r="F101" s="93">
        <f t="shared" si="2"/>
        <v>56.324167204946015</v>
      </c>
      <c r="G101" s="83" t="s">
        <v>312</v>
      </c>
      <c r="H101" s="94">
        <f t="shared" si="3"/>
        <v>70.405209006182517</v>
      </c>
      <c r="I101" s="95"/>
      <c r="L101" s="83"/>
      <c r="M101" s="83"/>
    </row>
    <row r="102" spans="1:13">
      <c r="A102" s="83" t="s">
        <v>137</v>
      </c>
      <c r="B102" s="82">
        <f>VLOOKUP(A102,[2]MGMA!$A:$AV,48,FALSE)</f>
        <v>67.254155776267638</v>
      </c>
      <c r="C102" s="83" t="s">
        <v>313</v>
      </c>
      <c r="E102" s="83"/>
      <c r="F102" s="93">
        <f t="shared" si="2"/>
        <v>67.254155776267638</v>
      </c>
      <c r="G102" s="83" t="s">
        <v>312</v>
      </c>
      <c r="H102" s="94">
        <f t="shared" si="3"/>
        <v>84.067694720334543</v>
      </c>
      <c r="I102" s="95"/>
      <c r="L102" s="83"/>
      <c r="M102" s="83"/>
    </row>
    <row r="103" spans="1:13">
      <c r="A103" s="83" t="s">
        <v>138</v>
      </c>
      <c r="B103" s="82">
        <f>VLOOKUP(A103,[2]MGMA!$A:$AV,48,FALSE)</f>
        <v>62.318597397009789</v>
      </c>
      <c r="C103" s="83" t="s">
        <v>313</v>
      </c>
      <c r="E103" s="83"/>
      <c r="F103" s="93">
        <f t="shared" si="2"/>
        <v>62.318597397009789</v>
      </c>
      <c r="G103" s="83" t="s">
        <v>312</v>
      </c>
      <c r="H103" s="94">
        <f t="shared" si="3"/>
        <v>77.898246746262231</v>
      </c>
      <c r="I103" s="95"/>
      <c r="L103" s="83"/>
      <c r="M103" s="83"/>
    </row>
    <row r="104" spans="1:13">
      <c r="A104" s="83" t="s">
        <v>398</v>
      </c>
      <c r="B104" s="82">
        <f>VLOOKUP(A104,[2]MGMA!$A:$AV,48,FALSE)</f>
        <v>44.316522614752031</v>
      </c>
      <c r="C104" s="83" t="s">
        <v>313</v>
      </c>
      <c r="E104" s="83"/>
      <c r="F104" s="93">
        <f t="shared" si="2"/>
        <v>44.316522614752031</v>
      </c>
      <c r="G104" s="83" t="s">
        <v>312</v>
      </c>
      <c r="H104" s="94">
        <f t="shared" si="3"/>
        <v>55.395653268440043</v>
      </c>
      <c r="I104" s="95"/>
      <c r="L104" s="83"/>
      <c r="M104" s="83"/>
    </row>
    <row r="105" spans="1:13">
      <c r="A105" s="83" t="s">
        <v>139</v>
      </c>
      <c r="B105" s="82">
        <f>VLOOKUP(A105,[2]MGMA!$A:$AV,48,FALSE)</f>
        <v>85.277591282342613</v>
      </c>
      <c r="C105" s="83" t="s">
        <v>313</v>
      </c>
      <c r="E105" s="83"/>
      <c r="F105" s="93">
        <f t="shared" si="2"/>
        <v>85.277591282342613</v>
      </c>
      <c r="G105" s="83" t="s">
        <v>312</v>
      </c>
      <c r="H105" s="94">
        <f t="shared" si="3"/>
        <v>106.59698910292826</v>
      </c>
      <c r="I105" s="95"/>
      <c r="L105" s="83"/>
      <c r="M105" s="83"/>
    </row>
    <row r="106" spans="1:13">
      <c r="A106" s="83" t="s">
        <v>140</v>
      </c>
      <c r="B106" s="82">
        <f>VLOOKUP(A106,[2]MGMA!$A:$AV,48,FALSE)</f>
        <v>44.316522614752031</v>
      </c>
      <c r="C106" s="83" t="s">
        <v>313</v>
      </c>
      <c r="E106" s="83"/>
      <c r="F106" s="93">
        <f t="shared" si="2"/>
        <v>44.316522614752031</v>
      </c>
      <c r="G106" s="83" t="s">
        <v>312</v>
      </c>
      <c r="H106" s="94">
        <f t="shared" si="3"/>
        <v>55.395653268440043</v>
      </c>
      <c r="I106" s="95"/>
      <c r="L106" s="83"/>
      <c r="M106" s="83"/>
    </row>
    <row r="107" spans="1:13">
      <c r="A107" s="83" t="s">
        <v>141</v>
      </c>
      <c r="B107" s="82">
        <f>VLOOKUP(A107,[2]MGMA!$A:$AV,48,FALSE)</f>
        <v>54.359045695338992</v>
      </c>
      <c r="C107" s="83" t="s">
        <v>313</v>
      </c>
      <c r="E107" s="83"/>
      <c r="F107" s="93">
        <f t="shared" si="2"/>
        <v>54.359045695338992</v>
      </c>
      <c r="G107" s="83" t="s">
        <v>312</v>
      </c>
      <c r="H107" s="94">
        <f t="shared" si="3"/>
        <v>67.948807119173736</v>
      </c>
      <c r="I107" s="95"/>
      <c r="L107" s="83"/>
      <c r="M107" s="83"/>
    </row>
    <row r="108" spans="1:13">
      <c r="A108" s="83" t="s">
        <v>142</v>
      </c>
      <c r="B108" s="82">
        <f>VLOOKUP(A108,[2]MGMA!$A:$AV,48,FALSE)</f>
        <v>50.164479315263911</v>
      </c>
      <c r="C108" s="83" t="s">
        <v>313</v>
      </c>
      <c r="E108" s="83"/>
      <c r="F108" s="93">
        <f t="shared" si="2"/>
        <v>50.164479315263911</v>
      </c>
      <c r="G108" s="83" t="s">
        <v>313</v>
      </c>
      <c r="H108" s="94">
        <f t="shared" si="3"/>
        <v>50.164479315263911</v>
      </c>
      <c r="I108" s="95"/>
      <c r="L108" s="83"/>
      <c r="M108" s="83"/>
    </row>
    <row r="109" spans="1:13">
      <c r="A109" s="83" t="s">
        <v>286</v>
      </c>
      <c r="B109" s="82">
        <f>VLOOKUP(A109,[2]MGMA!$A:$AV,48,FALSE)</f>
        <v>68.476470588235301</v>
      </c>
      <c r="C109" s="83" t="s">
        <v>313</v>
      </c>
      <c r="E109" s="83"/>
      <c r="F109" s="93">
        <f t="shared" si="2"/>
        <v>68.476470588235301</v>
      </c>
      <c r="G109" s="83" t="s">
        <v>313</v>
      </c>
      <c r="H109" s="94">
        <f t="shared" si="3"/>
        <v>68.476470588235301</v>
      </c>
      <c r="I109" s="95"/>
      <c r="L109" s="83"/>
      <c r="M109" s="83"/>
    </row>
    <row r="110" spans="1:13">
      <c r="A110" s="83" t="s">
        <v>399</v>
      </c>
      <c r="B110" s="82">
        <f>VLOOKUP(A110,[2]MGMA!$A:$AV,48,FALSE)</f>
        <v>68.476470588235301</v>
      </c>
      <c r="C110" s="83" t="s">
        <v>313</v>
      </c>
      <c r="E110" s="83"/>
      <c r="F110" s="93">
        <f t="shared" si="2"/>
        <v>68.476470588235301</v>
      </c>
      <c r="G110" s="83" t="s">
        <v>313</v>
      </c>
      <c r="H110" s="94">
        <f t="shared" si="3"/>
        <v>68.476470588235301</v>
      </c>
      <c r="I110" s="95"/>
      <c r="L110" s="83"/>
      <c r="M110" s="83"/>
    </row>
    <row r="111" spans="1:13">
      <c r="A111" s="83" t="s">
        <v>144</v>
      </c>
      <c r="B111" s="82">
        <f>VLOOKUP(A111,[2]MGMA!$A:$AV,48,FALSE)</f>
        <v>80.119018702939044</v>
      </c>
      <c r="C111" s="83" t="s">
        <v>313</v>
      </c>
      <c r="E111" s="83"/>
      <c r="F111" s="93">
        <f t="shared" si="2"/>
        <v>80.119018702939044</v>
      </c>
      <c r="G111" s="83" t="s">
        <v>312</v>
      </c>
      <c r="H111" s="94">
        <f t="shared" si="3"/>
        <v>100.14877337867381</v>
      </c>
      <c r="I111" s="95"/>
      <c r="L111" s="83"/>
      <c r="M111" s="83"/>
    </row>
    <row r="112" spans="1:13">
      <c r="A112" s="83" t="s">
        <v>400</v>
      </c>
      <c r="B112" s="82">
        <f>VLOOKUP(A112,[2]MGMA!$A:$AV,48,FALSE)</f>
        <v>68.476470588235301</v>
      </c>
      <c r="C112" s="83" t="s">
        <v>313</v>
      </c>
      <c r="E112" s="83"/>
      <c r="F112" s="93">
        <f t="shared" si="2"/>
        <v>68.476470588235301</v>
      </c>
      <c r="G112" s="83" t="s">
        <v>313</v>
      </c>
      <c r="H112" s="94">
        <f t="shared" si="3"/>
        <v>68.476470588235301</v>
      </c>
      <c r="I112" s="95"/>
      <c r="L112" s="83"/>
      <c r="M112" s="83"/>
    </row>
    <row r="113" spans="1:13">
      <c r="A113" s="83" t="s">
        <v>145</v>
      </c>
      <c r="B113" s="82">
        <f>VLOOKUP(A113,[2]MGMA!$A:$AV,48,FALSE)</f>
        <v>68.476470588235301</v>
      </c>
      <c r="C113" s="83" t="s">
        <v>313</v>
      </c>
      <c r="E113" s="83"/>
      <c r="F113" s="93">
        <f t="shared" si="2"/>
        <v>68.476470588235301</v>
      </c>
      <c r="G113" s="83" t="s">
        <v>313</v>
      </c>
      <c r="H113" s="94">
        <f t="shared" si="3"/>
        <v>68.476470588235301</v>
      </c>
      <c r="I113" s="95"/>
      <c r="L113" s="83"/>
      <c r="M113" s="83"/>
    </row>
    <row r="114" spans="1:13">
      <c r="A114" s="83" t="s">
        <v>287</v>
      </c>
      <c r="B114" s="82">
        <f>VLOOKUP(A114,[2]MGMA!$A:$AV,48,FALSE)</f>
        <v>68.476470588235301</v>
      </c>
      <c r="C114" s="83" t="s">
        <v>313</v>
      </c>
      <c r="E114" s="83"/>
      <c r="F114" s="93">
        <f t="shared" si="2"/>
        <v>68.476470588235301</v>
      </c>
      <c r="G114" s="83" t="s">
        <v>313</v>
      </c>
      <c r="H114" s="94">
        <f t="shared" si="3"/>
        <v>68.476470588235301</v>
      </c>
      <c r="I114" s="95"/>
      <c r="L114" s="83"/>
      <c r="M114" s="83"/>
    </row>
    <row r="115" spans="1:13">
      <c r="A115" s="83" t="s">
        <v>146</v>
      </c>
      <c r="B115" s="82">
        <f>VLOOKUP(A115,[2]MGMA!$A:$AV,48,FALSE)</f>
        <v>46.076784484129085</v>
      </c>
      <c r="C115" s="83" t="s">
        <v>313</v>
      </c>
      <c r="E115" s="83"/>
      <c r="F115" s="93">
        <f t="shared" si="2"/>
        <v>46.076784484129085</v>
      </c>
      <c r="G115" s="83" t="s">
        <v>313</v>
      </c>
      <c r="H115" s="94">
        <f t="shared" si="3"/>
        <v>46.076784484129085</v>
      </c>
      <c r="I115" s="95"/>
      <c r="L115" s="83"/>
      <c r="M115" s="83"/>
    </row>
    <row r="116" spans="1:13">
      <c r="A116" s="83" t="s">
        <v>147</v>
      </c>
      <c r="B116" s="82">
        <f>VLOOKUP(A116,[2]MGMA!$A:$AV,48,FALSE)</f>
        <v>39.835723257274445</v>
      </c>
      <c r="C116" s="83" t="s">
        <v>313</v>
      </c>
      <c r="E116" s="83"/>
      <c r="F116" s="93">
        <f t="shared" si="2"/>
        <v>39.835723257274445</v>
      </c>
      <c r="G116" s="83" t="s">
        <v>313</v>
      </c>
      <c r="H116" s="94">
        <f t="shared" si="3"/>
        <v>39.835723257274445</v>
      </c>
      <c r="I116" s="95"/>
      <c r="L116" s="83"/>
      <c r="M116" s="83"/>
    </row>
    <row r="117" spans="1:13">
      <c r="A117" s="83" t="s">
        <v>148</v>
      </c>
      <c r="B117" s="82">
        <f>VLOOKUP(A117,[2]MGMA!$A:$AV,48,FALSE)</f>
        <v>44.772254762281669</v>
      </c>
      <c r="C117" s="83" t="s">
        <v>313</v>
      </c>
      <c r="E117" s="83"/>
      <c r="F117" s="93">
        <f t="shared" si="2"/>
        <v>44.772254762281669</v>
      </c>
      <c r="G117" s="83" t="s">
        <v>313</v>
      </c>
      <c r="H117" s="94">
        <f t="shared" si="3"/>
        <v>44.772254762281669</v>
      </c>
      <c r="I117" s="95"/>
      <c r="L117" s="83"/>
      <c r="M117" s="83"/>
    </row>
    <row r="118" spans="1:13">
      <c r="A118" s="83" t="s">
        <v>149</v>
      </c>
      <c r="B118" s="82">
        <f>VLOOKUP(A118,[2]MGMA!$A:$AV,48,FALSE)</f>
        <v>44.274010029396507</v>
      </c>
      <c r="C118" s="83" t="s">
        <v>313</v>
      </c>
      <c r="D118" s="104"/>
      <c r="E118" s="104"/>
      <c r="F118" s="93">
        <f t="shared" si="2"/>
        <v>44.274010029396507</v>
      </c>
      <c r="G118" s="104" t="s">
        <v>313</v>
      </c>
      <c r="H118" s="94">
        <f t="shared" si="3"/>
        <v>44.274010029396507</v>
      </c>
      <c r="I118" s="95"/>
      <c r="L118" s="83"/>
      <c r="M118" s="83"/>
    </row>
    <row r="119" spans="1:13">
      <c r="A119" s="83" t="s">
        <v>150</v>
      </c>
      <c r="B119" s="82">
        <f>VLOOKUP(A119,[2]MGMA!$A:$AV,48,FALSE)</f>
        <v>45.632376953580589</v>
      </c>
      <c r="C119" s="83" t="s">
        <v>313</v>
      </c>
      <c r="D119" s="104"/>
      <c r="E119" s="105"/>
      <c r="F119" s="93">
        <f t="shared" si="2"/>
        <v>45.632376953580589</v>
      </c>
      <c r="G119" s="104" t="s">
        <v>313</v>
      </c>
      <c r="H119" s="94">
        <f t="shared" si="3"/>
        <v>45.632376953580589</v>
      </c>
      <c r="I119" s="95"/>
      <c r="L119" s="83"/>
      <c r="M119" s="83"/>
    </row>
    <row r="120" spans="1:13">
      <c r="A120" s="83" t="s">
        <v>151</v>
      </c>
      <c r="B120" s="82">
        <f>VLOOKUP(A120,[2]MGMA!$A:$AV,48,FALSE)</f>
        <v>64.068829377348621</v>
      </c>
      <c r="C120" s="83" t="s">
        <v>313</v>
      </c>
      <c r="F120" s="93">
        <f t="shared" si="2"/>
        <v>64.068829377348621</v>
      </c>
      <c r="G120" s="83" t="s">
        <v>313</v>
      </c>
      <c r="H120" s="94">
        <f t="shared" si="3"/>
        <v>64.068829377348621</v>
      </c>
      <c r="I120" s="95"/>
      <c r="L120" s="83"/>
      <c r="M120" s="83"/>
    </row>
    <row r="121" spans="1:13">
      <c r="A121" s="83" t="s">
        <v>152</v>
      </c>
      <c r="B121" s="82">
        <f>VLOOKUP(A121,[2]MGMA!$A:$AV,48,FALSE)</f>
        <v>35.626879699248121</v>
      </c>
      <c r="C121" s="83" t="s">
        <v>313</v>
      </c>
      <c r="F121" s="93">
        <f t="shared" si="2"/>
        <v>35.626879699248121</v>
      </c>
      <c r="G121" s="83" t="s">
        <v>313</v>
      </c>
      <c r="H121" s="94">
        <f t="shared" si="3"/>
        <v>35.626879699248121</v>
      </c>
      <c r="I121" s="95"/>
      <c r="L121" s="83"/>
      <c r="M121" s="83"/>
    </row>
    <row r="122" spans="1:13">
      <c r="A122" s="83" t="s">
        <v>153</v>
      </c>
      <c r="B122" s="82">
        <f>VLOOKUP(A122,[2]MGMA!$A:$AV,48,FALSE)</f>
        <v>62.112503609587066</v>
      </c>
      <c r="C122" s="83" t="s">
        <v>313</v>
      </c>
      <c r="F122" s="93">
        <f t="shared" si="2"/>
        <v>62.112503609587066</v>
      </c>
      <c r="G122" s="83" t="s">
        <v>313</v>
      </c>
      <c r="H122" s="94">
        <f t="shared" si="3"/>
        <v>62.112503609587066</v>
      </c>
      <c r="I122" s="95"/>
      <c r="L122" s="83"/>
      <c r="M122" s="83"/>
    </row>
    <row r="123" spans="1:13">
      <c r="A123" s="83" t="s">
        <v>154</v>
      </c>
      <c r="B123" s="82">
        <f>VLOOKUP(A123,[2]MGMA!$A:$AV,48,FALSE)</f>
        <v>49.828761629772217</v>
      </c>
      <c r="C123" s="83" t="s">
        <v>313</v>
      </c>
      <c r="D123" s="98"/>
      <c r="E123" s="99"/>
      <c r="F123" s="93">
        <f t="shared" si="2"/>
        <v>49.828761629772217</v>
      </c>
      <c r="G123" s="98" t="s">
        <v>313</v>
      </c>
      <c r="H123" s="94">
        <f t="shared" si="3"/>
        <v>49.828761629772217</v>
      </c>
      <c r="I123" s="95"/>
      <c r="L123" s="83"/>
      <c r="M123" s="83"/>
    </row>
    <row r="124" spans="1:13">
      <c r="A124" s="83" t="s">
        <v>155</v>
      </c>
      <c r="B124" s="82">
        <f>VLOOKUP(A124,[2]MGMA!$A:$AV,48,FALSE)</f>
        <v>50.06605836663902</v>
      </c>
      <c r="C124" s="83" t="s">
        <v>313</v>
      </c>
      <c r="E124" s="83"/>
      <c r="F124" s="93">
        <f t="shared" si="2"/>
        <v>50.06605836663902</v>
      </c>
      <c r="G124" s="83" t="s">
        <v>313</v>
      </c>
      <c r="H124" s="94">
        <f t="shared" si="3"/>
        <v>50.06605836663902</v>
      </c>
      <c r="I124" s="95"/>
      <c r="L124" s="83"/>
      <c r="M124" s="83"/>
    </row>
    <row r="125" spans="1:13">
      <c r="A125" s="83" t="s">
        <v>288</v>
      </c>
      <c r="B125" s="82">
        <f>VLOOKUP(A125,[2]MGMA!$A:$AV,48,FALSE)</f>
        <v>55.079657669519413</v>
      </c>
      <c r="C125" s="83" t="s">
        <v>313</v>
      </c>
      <c r="E125" s="83"/>
      <c r="F125" s="93">
        <f t="shared" si="2"/>
        <v>55.079657669519413</v>
      </c>
      <c r="G125" s="83" t="s">
        <v>313</v>
      </c>
      <c r="H125" s="94">
        <f t="shared" si="3"/>
        <v>55.079657669519413</v>
      </c>
      <c r="I125" s="95"/>
      <c r="L125" s="83"/>
      <c r="M125" s="83"/>
    </row>
    <row r="126" spans="1:13">
      <c r="A126" s="83" t="s">
        <v>156</v>
      </c>
      <c r="B126" s="82">
        <f>VLOOKUP(A126,[2]MGMA!$A:$AV,48,FALSE)</f>
        <v>56.082480652365867</v>
      </c>
      <c r="C126" s="83" t="s">
        <v>313</v>
      </c>
      <c r="E126" s="83"/>
      <c r="F126" s="93">
        <f t="shared" si="2"/>
        <v>56.082480652365867</v>
      </c>
      <c r="G126" s="83" t="s">
        <v>313</v>
      </c>
      <c r="H126" s="94">
        <f t="shared" si="3"/>
        <v>56.082480652365867</v>
      </c>
      <c r="I126" s="95"/>
      <c r="L126" s="83"/>
      <c r="M126" s="83"/>
    </row>
    <row r="127" spans="1:13">
      <c r="A127" s="83" t="s">
        <v>157</v>
      </c>
      <c r="B127" s="82">
        <f>VLOOKUP(A127,[2]MGMA!$A:$AV,48,FALSE)</f>
        <v>60.56898352999017</v>
      </c>
      <c r="C127" s="83" t="s">
        <v>313</v>
      </c>
      <c r="E127" s="83"/>
      <c r="F127" s="93">
        <f t="shared" si="2"/>
        <v>60.56898352999017</v>
      </c>
      <c r="G127" s="83" t="s">
        <v>313</v>
      </c>
      <c r="H127" s="94">
        <f t="shared" si="3"/>
        <v>60.56898352999017</v>
      </c>
      <c r="I127" s="95"/>
      <c r="L127" s="83"/>
      <c r="M127" s="83"/>
    </row>
    <row r="128" spans="1:13">
      <c r="A128" s="83" t="s">
        <v>158</v>
      </c>
      <c r="B128" s="82">
        <f>VLOOKUP(A128,[2]MGMA!$A:$AV,48,FALSE)</f>
        <v>51.657877094972072</v>
      </c>
      <c r="C128" s="83" t="s">
        <v>313</v>
      </c>
      <c r="E128" s="83"/>
      <c r="F128" s="93">
        <f t="shared" si="2"/>
        <v>51.657877094972072</v>
      </c>
      <c r="G128" s="83" t="s">
        <v>313</v>
      </c>
      <c r="H128" s="94">
        <f t="shared" si="3"/>
        <v>51.657877094972072</v>
      </c>
      <c r="I128" s="95"/>
      <c r="L128" s="83"/>
      <c r="M128" s="83"/>
    </row>
    <row r="129" spans="1:13">
      <c r="A129" s="83" t="s">
        <v>401</v>
      </c>
      <c r="B129" s="82">
        <f>VLOOKUP(A129,[2]MGMA!$A:$AV,48,FALSE)</f>
        <v>51.146110753971904</v>
      </c>
      <c r="C129" s="83" t="s">
        <v>313</v>
      </c>
      <c r="E129" s="83"/>
      <c r="F129" s="93">
        <f t="shared" si="2"/>
        <v>51.146110753971904</v>
      </c>
      <c r="G129" s="83" t="s">
        <v>313</v>
      </c>
      <c r="H129" s="94">
        <f t="shared" si="3"/>
        <v>51.146110753971904</v>
      </c>
      <c r="I129" s="95"/>
      <c r="L129" s="83"/>
      <c r="M129" s="83"/>
    </row>
    <row r="130" spans="1:13">
      <c r="A130" s="83" t="s">
        <v>402</v>
      </c>
      <c r="B130" s="82">
        <f>VLOOKUP(A130,[2]MGMA!$A:$AV,48,FALSE)</f>
        <v>51.146110753971904</v>
      </c>
      <c r="C130" s="83" t="s">
        <v>313</v>
      </c>
      <c r="E130" s="83"/>
      <c r="F130" s="93">
        <f t="shared" si="2"/>
        <v>51.146110753971904</v>
      </c>
      <c r="G130" s="83" t="s">
        <v>313</v>
      </c>
      <c r="H130" s="94">
        <f t="shared" si="3"/>
        <v>51.146110753971904</v>
      </c>
      <c r="I130" s="95"/>
      <c r="L130" s="83"/>
      <c r="M130" s="83"/>
    </row>
    <row r="131" spans="1:13">
      <c r="A131" s="83" t="s">
        <v>159</v>
      </c>
      <c r="B131" s="82">
        <f>VLOOKUP(A131,[2]MGMA!$A:$AV,48,FALSE)</f>
        <v>51.146110753971904</v>
      </c>
      <c r="C131" s="83" t="s">
        <v>313</v>
      </c>
      <c r="E131" s="83"/>
      <c r="F131" s="93">
        <f t="shared" si="2"/>
        <v>51.146110753971904</v>
      </c>
      <c r="G131" s="83" t="s">
        <v>313</v>
      </c>
      <c r="H131" s="94">
        <f t="shared" si="3"/>
        <v>51.146110753971904</v>
      </c>
      <c r="I131" s="95"/>
      <c r="L131" s="83"/>
      <c r="M131" s="83"/>
    </row>
    <row r="132" spans="1:13">
      <c r="A132" s="83" t="s">
        <v>160</v>
      </c>
      <c r="B132" s="82">
        <f>VLOOKUP(A132,[2]MGMA!$A:$AV,48,FALSE)</f>
        <v>60.835949031539002</v>
      </c>
      <c r="C132" s="83" t="s">
        <v>313</v>
      </c>
      <c r="E132" s="83"/>
      <c r="F132" s="93">
        <f t="shared" si="2"/>
        <v>60.835949031539002</v>
      </c>
      <c r="G132" s="83" t="s">
        <v>313</v>
      </c>
      <c r="H132" s="94">
        <f t="shared" si="3"/>
        <v>60.835949031539002</v>
      </c>
      <c r="I132" s="95"/>
      <c r="L132" s="83"/>
      <c r="M132" s="83"/>
    </row>
    <row r="133" spans="1:13">
      <c r="A133" s="83" t="s">
        <v>161</v>
      </c>
      <c r="B133" s="82">
        <f>VLOOKUP(A133,[2]MGMA!$A:$AV,48,FALSE)</f>
        <v>49.278153925265677</v>
      </c>
      <c r="C133" s="83" t="s">
        <v>313</v>
      </c>
      <c r="E133" s="83"/>
      <c r="F133" s="93">
        <f t="shared" si="2"/>
        <v>49.278153925265677</v>
      </c>
      <c r="G133" s="83" t="s">
        <v>313</v>
      </c>
      <c r="H133" s="94">
        <f t="shared" si="3"/>
        <v>49.278153925265677</v>
      </c>
      <c r="I133" s="95"/>
      <c r="L133" s="83"/>
      <c r="M133" s="83"/>
    </row>
    <row r="134" spans="1:13">
      <c r="A134" s="83" t="s">
        <v>162</v>
      </c>
      <c r="B134" s="82">
        <f>VLOOKUP(A134,[2]MGMA!$A:$AV,48,FALSE)</f>
        <v>57.676832066908055</v>
      </c>
      <c r="C134" s="83" t="s">
        <v>313</v>
      </c>
      <c r="E134" s="83"/>
      <c r="F134" s="93">
        <f t="shared" si="2"/>
        <v>57.676832066908055</v>
      </c>
      <c r="G134" s="83" t="s">
        <v>313</v>
      </c>
      <c r="H134" s="94">
        <f t="shared" si="3"/>
        <v>57.676832066908055</v>
      </c>
      <c r="I134" s="95"/>
      <c r="L134" s="83"/>
      <c r="M134" s="83"/>
    </row>
    <row r="135" spans="1:13">
      <c r="A135" s="83" t="s">
        <v>163</v>
      </c>
      <c r="B135" s="82">
        <f>VLOOKUP(A135,[2]MGMA!$A:$AV,48,FALSE)</f>
        <v>51.675801387650687</v>
      </c>
      <c r="C135" s="83" t="s">
        <v>313</v>
      </c>
      <c r="E135" s="83"/>
      <c r="F135" s="93">
        <f t="shared" ref="F135:F151" si="4">IF(E135="",B135,E135)</f>
        <v>51.675801387650687</v>
      </c>
      <c r="G135" s="83" t="s">
        <v>313</v>
      </c>
      <c r="H135" s="94">
        <f t="shared" ref="H135:H151" si="5">IF(G135="Yes",F135*1.25,F135)</f>
        <v>51.675801387650687</v>
      </c>
    </row>
    <row r="136" spans="1:13">
      <c r="A136" s="83" t="s">
        <v>164</v>
      </c>
      <c r="B136" s="82">
        <f>VLOOKUP(A136,[2]MGMA!$A:$AV,48,FALSE)</f>
        <v>51.675801387650687</v>
      </c>
      <c r="C136" s="83" t="s">
        <v>313</v>
      </c>
      <c r="E136" s="83"/>
      <c r="F136" s="93">
        <f t="shared" si="4"/>
        <v>51.675801387650687</v>
      </c>
      <c r="G136" s="83" t="s">
        <v>313</v>
      </c>
      <c r="H136" s="94">
        <f t="shared" si="5"/>
        <v>51.675801387650687</v>
      </c>
    </row>
    <row r="137" spans="1:13">
      <c r="A137" s="83" t="s">
        <v>165</v>
      </c>
      <c r="B137" s="82">
        <f>VLOOKUP(A137,[2]MGMA!$A:$AV,48,FALSE)</f>
        <v>60.471034024766588</v>
      </c>
      <c r="C137" s="83" t="s">
        <v>313</v>
      </c>
      <c r="F137" s="93">
        <f t="shared" si="4"/>
        <v>60.471034024766588</v>
      </c>
      <c r="G137" s="83" t="s">
        <v>313</v>
      </c>
      <c r="H137" s="94">
        <f t="shared" si="5"/>
        <v>60.471034024766588</v>
      </c>
    </row>
    <row r="138" spans="1:13">
      <c r="A138" s="83" t="s">
        <v>166</v>
      </c>
      <c r="B138" s="82">
        <f>VLOOKUP(A138,[2]MGMA!$A:$AV,48,FALSE)</f>
        <v>60.246589389210875</v>
      </c>
      <c r="C138" s="83" t="s">
        <v>313</v>
      </c>
      <c r="F138" s="93">
        <f t="shared" si="4"/>
        <v>60.246589389210875</v>
      </c>
      <c r="G138" s="83" t="s">
        <v>313</v>
      </c>
      <c r="H138" s="94">
        <f t="shared" si="5"/>
        <v>60.246589389210875</v>
      </c>
    </row>
    <row r="139" spans="1:13">
      <c r="A139" s="83" t="s">
        <v>403</v>
      </c>
      <c r="B139" s="82">
        <f>VLOOKUP(A139,[2]MGMA!$A:$AV,48,FALSE)</f>
        <v>60.246589389210875</v>
      </c>
      <c r="C139" s="83" t="s">
        <v>313</v>
      </c>
      <c r="F139" s="93">
        <f t="shared" si="4"/>
        <v>60.246589389210875</v>
      </c>
      <c r="G139" s="83" t="s">
        <v>313</v>
      </c>
      <c r="H139" s="94">
        <f t="shared" si="5"/>
        <v>60.246589389210875</v>
      </c>
    </row>
    <row r="140" spans="1:13">
      <c r="A140" s="83" t="s">
        <v>404</v>
      </c>
      <c r="B140" s="82">
        <f>VLOOKUP(A140,[2]MGMA!$A:$AV,48,FALSE)</f>
        <v>60.246589389210875</v>
      </c>
      <c r="C140" s="83" t="s">
        <v>313</v>
      </c>
      <c r="F140" s="93">
        <f t="shared" si="4"/>
        <v>60.246589389210875</v>
      </c>
      <c r="G140" s="83" t="s">
        <v>313</v>
      </c>
      <c r="H140" s="94">
        <f t="shared" si="5"/>
        <v>60.246589389210875</v>
      </c>
    </row>
    <row r="141" spans="1:13">
      <c r="A141" s="83" t="s">
        <v>167</v>
      </c>
      <c r="B141" s="82">
        <f>VLOOKUP(A141,[2]MGMA!$A:$AV,48,FALSE)</f>
        <v>51.146110753971904</v>
      </c>
      <c r="C141" s="83" t="s">
        <v>313</v>
      </c>
      <c r="F141" s="93">
        <f t="shared" si="4"/>
        <v>51.146110753971904</v>
      </c>
      <c r="G141" s="83" t="s">
        <v>313</v>
      </c>
      <c r="H141" s="94">
        <f t="shared" si="5"/>
        <v>51.146110753971904</v>
      </c>
    </row>
    <row r="142" spans="1:13">
      <c r="A142" s="83" t="s">
        <v>168</v>
      </c>
      <c r="B142" s="82">
        <f>VLOOKUP(A142,[2]MGMA!$A:$AV,48,FALSE)</f>
        <v>47.080906738583764</v>
      </c>
      <c r="C142" s="83" t="s">
        <v>313</v>
      </c>
      <c r="F142" s="93">
        <f t="shared" si="4"/>
        <v>47.080906738583764</v>
      </c>
      <c r="G142" s="83" t="s">
        <v>313</v>
      </c>
      <c r="H142" s="94">
        <f t="shared" si="5"/>
        <v>47.080906738583764</v>
      </c>
    </row>
    <row r="143" spans="1:13">
      <c r="A143" s="83" t="s">
        <v>169</v>
      </c>
      <c r="B143" s="82">
        <f>VLOOKUP(A143,[2]MGMA!$A:$AV,48,FALSE)</f>
        <v>58.45969167321288</v>
      </c>
      <c r="C143" s="83" t="s">
        <v>313</v>
      </c>
      <c r="F143" s="93">
        <f t="shared" si="4"/>
        <v>58.45969167321288</v>
      </c>
      <c r="G143" s="83" t="s">
        <v>313</v>
      </c>
      <c r="H143" s="94">
        <f t="shared" si="5"/>
        <v>58.45969167321288</v>
      </c>
    </row>
    <row r="144" spans="1:13">
      <c r="A144" s="83" t="s">
        <v>170</v>
      </c>
      <c r="B144" s="82">
        <f>VLOOKUP(A144,[2]MGMA!$A:$AV,48,FALSE)</f>
        <v>49.685837854243324</v>
      </c>
      <c r="C144" s="83" t="s">
        <v>313</v>
      </c>
      <c r="F144" s="93">
        <f t="shared" si="4"/>
        <v>49.685837854243324</v>
      </c>
      <c r="G144" s="83" t="s">
        <v>313</v>
      </c>
      <c r="H144" s="94">
        <f t="shared" si="5"/>
        <v>49.685837854243324</v>
      </c>
    </row>
    <row r="145" spans="1:8">
      <c r="A145" s="83" t="s">
        <v>405</v>
      </c>
      <c r="B145" s="82">
        <f>VLOOKUP(A145,[2]MGMA!$A:$AV,48,FALSE)</f>
        <v>51.363847381401428</v>
      </c>
      <c r="C145" s="83" t="s">
        <v>313</v>
      </c>
      <c r="F145" s="93">
        <f t="shared" si="4"/>
        <v>51.363847381401428</v>
      </c>
      <c r="G145" s="83" t="s">
        <v>313</v>
      </c>
      <c r="H145" s="94">
        <f t="shared" si="5"/>
        <v>51.363847381401428</v>
      </c>
    </row>
    <row r="146" spans="1:8">
      <c r="A146" s="83" t="s">
        <v>171</v>
      </c>
      <c r="B146" s="82">
        <f>VLOOKUP(A146,[2]MGMA!$A:$AV,48,FALSE)</f>
        <v>47.513545062995618</v>
      </c>
      <c r="C146" s="83" t="s">
        <v>313</v>
      </c>
      <c r="F146" s="93">
        <f t="shared" si="4"/>
        <v>47.513545062995618</v>
      </c>
      <c r="G146" s="83" t="s">
        <v>313</v>
      </c>
      <c r="H146" s="94">
        <f t="shared" si="5"/>
        <v>47.513545062995618</v>
      </c>
    </row>
    <row r="147" spans="1:8">
      <c r="A147" s="245" t="s">
        <v>410</v>
      </c>
      <c r="B147" s="82">
        <v>75.23</v>
      </c>
      <c r="C147" s="83" t="s">
        <v>312</v>
      </c>
      <c r="D147" s="83" t="s">
        <v>408</v>
      </c>
      <c r="F147" s="82">
        <f t="shared" si="4"/>
        <v>75.23</v>
      </c>
      <c r="G147" s="83" t="s">
        <v>313</v>
      </c>
      <c r="H147" s="94">
        <f t="shared" si="5"/>
        <v>75.23</v>
      </c>
    </row>
    <row r="148" spans="1:8">
      <c r="A148" s="245" t="s">
        <v>411</v>
      </c>
      <c r="B148" s="82">
        <v>49.21</v>
      </c>
      <c r="C148" s="83" t="s">
        <v>312</v>
      </c>
      <c r="D148" s="83" t="s">
        <v>409</v>
      </c>
      <c r="F148" s="82">
        <f t="shared" si="4"/>
        <v>49.21</v>
      </c>
      <c r="G148" s="83" t="s">
        <v>313</v>
      </c>
      <c r="H148" s="94">
        <f t="shared" si="5"/>
        <v>49.21</v>
      </c>
    </row>
    <row r="149" spans="1:8">
      <c r="A149" s="83" t="s">
        <v>412</v>
      </c>
      <c r="B149" s="82">
        <v>101.01</v>
      </c>
      <c r="C149" s="83" t="s">
        <v>312</v>
      </c>
      <c r="D149" s="83" t="s">
        <v>408</v>
      </c>
      <c r="F149" s="82">
        <f t="shared" si="4"/>
        <v>101.01</v>
      </c>
      <c r="G149" s="83" t="s">
        <v>313</v>
      </c>
      <c r="H149" s="94">
        <f t="shared" si="5"/>
        <v>101.01</v>
      </c>
    </row>
    <row r="150" spans="1:8">
      <c r="A150" s="245" t="s">
        <v>413</v>
      </c>
      <c r="B150" s="82">
        <v>53.13</v>
      </c>
      <c r="C150" s="83" t="s">
        <v>312</v>
      </c>
      <c r="D150" s="83" t="s">
        <v>408</v>
      </c>
      <c r="F150" s="82">
        <f t="shared" si="4"/>
        <v>53.13</v>
      </c>
      <c r="G150" s="83" t="s">
        <v>313</v>
      </c>
      <c r="H150" s="94">
        <f t="shared" si="5"/>
        <v>53.13</v>
      </c>
    </row>
    <row r="151" spans="1:8">
      <c r="A151" s="83" t="s">
        <v>414</v>
      </c>
      <c r="B151" s="82">
        <v>87.45</v>
      </c>
      <c r="C151" s="83" t="s">
        <v>312</v>
      </c>
      <c r="D151" s="83" t="s">
        <v>408</v>
      </c>
      <c r="F151" s="82">
        <f t="shared" si="4"/>
        <v>87.45</v>
      </c>
      <c r="G151" s="83" t="s">
        <v>313</v>
      </c>
      <c r="H151" s="94">
        <f t="shared" si="5"/>
        <v>87.45</v>
      </c>
    </row>
  </sheetData>
  <autoFilter ref="A4:O151"/>
  <mergeCells count="2">
    <mergeCell ref="B3:G3"/>
    <mergeCell ref="I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workbookViewId="0">
      <selection activeCell="BA4" sqref="BA4:BA5"/>
    </sheetView>
  </sheetViews>
  <sheetFormatPr defaultRowHeight="12.75"/>
  <cols>
    <col min="1" max="1" width="19.5703125" bestFit="1" customWidth="1"/>
    <col min="13" max="13" width="13.28515625" bestFit="1" customWidth="1"/>
    <col min="14" max="14" width="14.28515625" bestFit="1" customWidth="1"/>
    <col min="17" max="17" width="15.5703125" customWidth="1"/>
    <col min="21" max="21" width="10.42578125" bestFit="1" customWidth="1"/>
  </cols>
  <sheetData>
    <row r="1" spans="1:55" ht="13.5" thickBot="1">
      <c r="A1" s="5" t="s">
        <v>6</v>
      </c>
      <c r="M1" s="293" t="s">
        <v>419</v>
      </c>
      <c r="N1" s="294"/>
      <c r="O1" s="294"/>
      <c r="P1" s="294"/>
      <c r="Q1" s="295"/>
      <c r="R1" s="295"/>
      <c r="S1" s="295"/>
      <c r="T1" s="294"/>
      <c r="U1" s="294"/>
      <c r="V1" s="294"/>
      <c r="W1" s="294"/>
      <c r="X1" s="294"/>
      <c r="Y1" s="294"/>
      <c r="Z1" s="294"/>
      <c r="AA1" s="296"/>
    </row>
    <row r="2" spans="1:55" ht="13.5" thickBot="1">
      <c r="A2" s="6" t="s">
        <v>7</v>
      </c>
      <c r="M2" s="299" t="s">
        <v>418</v>
      </c>
      <c r="N2" s="285"/>
      <c r="O2" s="286"/>
      <c r="Q2" s="292" t="s">
        <v>271</v>
      </c>
      <c r="R2" s="280"/>
      <c r="S2" s="281"/>
      <c r="U2" s="284" t="s">
        <v>199</v>
      </c>
      <c r="V2" s="285"/>
      <c r="W2" s="286"/>
      <c r="Y2" s="284" t="s">
        <v>216</v>
      </c>
      <c r="Z2" s="285"/>
      <c r="AA2" s="286"/>
      <c r="AC2" s="292" t="s">
        <v>324</v>
      </c>
      <c r="AD2" s="280"/>
      <c r="AE2" s="281"/>
      <c r="AG2" s="292" t="s">
        <v>325</v>
      </c>
      <c r="AH2" s="280"/>
      <c r="AI2" s="281"/>
      <c r="AK2" s="292" t="s">
        <v>299</v>
      </c>
      <c r="AL2" s="280"/>
      <c r="AM2" s="281"/>
      <c r="AO2" s="279" t="s">
        <v>297</v>
      </c>
      <c r="AP2" s="280"/>
      <c r="AQ2" s="281"/>
      <c r="AS2" s="279" t="s">
        <v>332</v>
      </c>
      <c r="AT2" s="280"/>
      <c r="AU2" s="281"/>
      <c r="AW2" s="279" t="s">
        <v>336</v>
      </c>
      <c r="AX2" s="280"/>
      <c r="AY2" s="281"/>
      <c r="BA2" s="279" t="s">
        <v>379</v>
      </c>
      <c r="BB2" s="280"/>
      <c r="BC2" s="281"/>
    </row>
    <row r="3" spans="1:55" ht="15">
      <c r="A3" s="6" t="s">
        <v>2</v>
      </c>
      <c r="G3" s="13" t="s">
        <v>190</v>
      </c>
      <c r="H3" s="38" t="s">
        <v>177</v>
      </c>
      <c r="K3" t="s">
        <v>195</v>
      </c>
      <c r="M3" s="50">
        <f>Proforma!F14</f>
        <v>0</v>
      </c>
      <c r="N3" s="300" t="s">
        <v>214</v>
      </c>
      <c r="O3" s="301"/>
      <c r="Q3" s="106">
        <f>Proforma!I9</f>
        <v>0</v>
      </c>
      <c r="R3" s="282" t="s">
        <v>214</v>
      </c>
      <c r="S3" s="283"/>
      <c r="U3" s="50">
        <f>Proforma!F13</f>
        <v>0</v>
      </c>
      <c r="V3" s="300" t="s">
        <v>214</v>
      </c>
      <c r="W3" s="301"/>
      <c r="Y3" s="50">
        <f>Proforma!C15</f>
        <v>0</v>
      </c>
      <c r="Z3" s="300" t="s">
        <v>214</v>
      </c>
      <c r="AA3" s="301"/>
      <c r="AC3" s="106">
        <f>Proforma!C10+Proforma!C11</f>
        <v>0</v>
      </c>
      <c r="AD3" s="282" t="s">
        <v>214</v>
      </c>
      <c r="AE3" s="283"/>
      <c r="AG3" s="106">
        <f>Proforma!C12</f>
        <v>0</v>
      </c>
      <c r="AH3" s="282" t="s">
        <v>214</v>
      </c>
      <c r="AI3" s="283"/>
      <c r="AK3" s="106">
        <f>Proforma!C13</f>
        <v>0</v>
      </c>
      <c r="AL3" s="282" t="s">
        <v>214</v>
      </c>
      <c r="AM3" s="283"/>
      <c r="AO3" s="106">
        <f>Proforma!C17</f>
        <v>0</v>
      </c>
      <c r="AP3" s="282" t="s">
        <v>214</v>
      </c>
      <c r="AQ3" s="283"/>
      <c r="AS3" s="106">
        <f>Proforma!C14</f>
        <v>0</v>
      </c>
      <c r="AT3" s="282" t="s">
        <v>214</v>
      </c>
      <c r="AU3" s="283"/>
      <c r="AW3" s="106">
        <f>Proforma!F16</f>
        <v>0</v>
      </c>
      <c r="AX3" s="282" t="s">
        <v>214</v>
      </c>
      <c r="AY3" s="283"/>
      <c r="BA3" s="106">
        <f>SUM(Proforma!F17:F18)</f>
        <v>0</v>
      </c>
      <c r="BB3" s="282" t="s">
        <v>214</v>
      </c>
      <c r="BC3" s="283"/>
    </row>
    <row r="4" spans="1:55">
      <c r="A4" s="6" t="s">
        <v>3</v>
      </c>
      <c r="G4" s="41">
        <v>4112</v>
      </c>
      <c r="H4" s="39" t="s">
        <v>54</v>
      </c>
      <c r="K4" t="s">
        <v>196</v>
      </c>
      <c r="M4" s="46">
        <v>44743</v>
      </c>
      <c r="N4" s="302" t="s">
        <v>224</v>
      </c>
      <c r="O4" s="283"/>
      <c r="Q4" s="46">
        <v>44743</v>
      </c>
      <c r="R4" s="282" t="s">
        <v>224</v>
      </c>
      <c r="S4" s="283"/>
      <c r="U4" s="46">
        <v>44743</v>
      </c>
      <c r="V4" s="302" t="s">
        <v>224</v>
      </c>
      <c r="W4" s="283"/>
      <c r="Y4" s="46">
        <v>44743</v>
      </c>
      <c r="Z4" s="302" t="s">
        <v>224</v>
      </c>
      <c r="AA4" s="283"/>
      <c r="AC4" s="46">
        <v>44743</v>
      </c>
      <c r="AD4" s="282" t="s">
        <v>224</v>
      </c>
      <c r="AE4" s="283"/>
      <c r="AG4" s="46">
        <v>44743</v>
      </c>
      <c r="AH4" s="282" t="s">
        <v>224</v>
      </c>
      <c r="AI4" s="283"/>
      <c r="AK4" s="46">
        <v>44743</v>
      </c>
      <c r="AL4" s="282" t="s">
        <v>224</v>
      </c>
      <c r="AM4" s="283"/>
      <c r="AO4" s="46">
        <v>44743</v>
      </c>
      <c r="AP4" s="282" t="s">
        <v>224</v>
      </c>
      <c r="AQ4" s="283"/>
      <c r="AS4" s="46">
        <v>44743</v>
      </c>
      <c r="AT4" s="282" t="s">
        <v>224</v>
      </c>
      <c r="AU4" s="283"/>
      <c r="AW4" s="46">
        <v>44743</v>
      </c>
      <c r="AX4" s="282" t="s">
        <v>224</v>
      </c>
      <c r="AY4" s="283"/>
      <c r="BA4" s="46">
        <v>44743</v>
      </c>
      <c r="BB4" s="282" t="s">
        <v>224</v>
      </c>
      <c r="BC4" s="283"/>
    </row>
    <row r="5" spans="1:55">
      <c r="A5" s="6" t="s">
        <v>14</v>
      </c>
      <c r="B5" s="5" t="s">
        <v>16</v>
      </c>
      <c r="G5" s="41">
        <v>4114</v>
      </c>
      <c r="H5" s="39" t="s">
        <v>179</v>
      </c>
      <c r="K5" t="s">
        <v>197</v>
      </c>
      <c r="M5" s="46">
        <v>45107</v>
      </c>
      <c r="N5" s="302" t="s">
        <v>215</v>
      </c>
      <c r="O5" s="283"/>
      <c r="Q5" s="46">
        <v>45107</v>
      </c>
      <c r="R5" s="282" t="s">
        <v>215</v>
      </c>
      <c r="S5" s="283"/>
      <c r="U5" s="46">
        <v>45107</v>
      </c>
      <c r="V5" s="302" t="s">
        <v>215</v>
      </c>
      <c r="W5" s="283"/>
      <c r="Y5" s="46">
        <v>45107</v>
      </c>
      <c r="Z5" s="302" t="s">
        <v>215</v>
      </c>
      <c r="AA5" s="283"/>
      <c r="AC5" s="46">
        <v>45107</v>
      </c>
      <c r="AD5" s="282" t="s">
        <v>215</v>
      </c>
      <c r="AE5" s="283"/>
      <c r="AG5" s="46">
        <v>45107</v>
      </c>
      <c r="AH5" s="282" t="s">
        <v>215</v>
      </c>
      <c r="AI5" s="283"/>
      <c r="AK5" s="46">
        <v>45107</v>
      </c>
      <c r="AL5" s="282" t="s">
        <v>215</v>
      </c>
      <c r="AM5" s="283"/>
      <c r="AO5" s="46">
        <v>45107</v>
      </c>
      <c r="AP5" s="282" t="s">
        <v>215</v>
      </c>
      <c r="AQ5" s="283"/>
      <c r="AS5" s="46">
        <v>45107</v>
      </c>
      <c r="AT5" s="282" t="s">
        <v>215</v>
      </c>
      <c r="AU5" s="283"/>
      <c r="AW5" s="46">
        <v>45107</v>
      </c>
      <c r="AX5" s="282" t="s">
        <v>215</v>
      </c>
      <c r="AY5" s="283"/>
      <c r="BA5" s="46">
        <v>45107</v>
      </c>
      <c r="BB5" s="282" t="s">
        <v>215</v>
      </c>
      <c r="BC5" s="283"/>
    </row>
    <row r="6" spans="1:55" ht="13.5" thickBot="1">
      <c r="A6" s="6" t="s">
        <v>15</v>
      </c>
      <c r="B6" s="5" t="s">
        <v>17</v>
      </c>
      <c r="G6" s="41">
        <v>4116</v>
      </c>
      <c r="H6" s="39" t="s">
        <v>178</v>
      </c>
      <c r="M6" s="49">
        <f>IF(Proforma!C9=Lists!M4,1*Lists!M3,((M5-Proforma!C9)/365)*M3)</f>
        <v>0</v>
      </c>
      <c r="N6" s="47" t="s">
        <v>223</v>
      </c>
      <c r="O6" s="48"/>
      <c r="Q6" s="49">
        <f>IF(Proforma!C9=Lists!Q4,1*Lists!Q3,((Q5-Proforma!C9)/365)*Q3)</f>
        <v>0</v>
      </c>
      <c r="R6" s="297" t="s">
        <v>223</v>
      </c>
      <c r="S6" s="298"/>
      <c r="U6" s="51">
        <f>IF(Proforma!C9=Lists!U4,1*Lists!U3,((U5-Proforma!C9)/365)*U3)</f>
        <v>0</v>
      </c>
      <c r="V6" s="297" t="s">
        <v>223</v>
      </c>
      <c r="W6" s="298"/>
      <c r="Y6" s="51">
        <f>IF(Proforma!C9=Lists!Y4,1*Lists!Y3,((Y5-Proforma!C9)/365)*Y3)</f>
        <v>0</v>
      </c>
      <c r="Z6" s="297" t="s">
        <v>223</v>
      </c>
      <c r="AA6" s="298"/>
      <c r="AC6" s="106">
        <f>IF(Proforma!C9=Lists!AC4,1*Lists!AC3,((AC5-Proforma!C9)/365)*AC3)</f>
        <v>0</v>
      </c>
      <c r="AD6" s="282" t="s">
        <v>223</v>
      </c>
      <c r="AE6" s="283"/>
      <c r="AG6" s="106">
        <f>IF(Proforma!C9=Lists!AG4,1*Lists!AG3,((AG5-Proforma!C9)/365)*AG3)</f>
        <v>0</v>
      </c>
      <c r="AH6" s="282" t="s">
        <v>223</v>
      </c>
      <c r="AI6" s="283"/>
      <c r="AK6" s="106">
        <f>IF(Proforma!C9=Lists!AK4,1*Lists!AK3,((AK5-Proforma!C9)/365)*AK3)</f>
        <v>0</v>
      </c>
      <c r="AL6" s="282" t="s">
        <v>223</v>
      </c>
      <c r="AM6" s="283"/>
      <c r="AO6" s="106">
        <f>IF(Proforma!C9=Lists!AO4,1*Lists!AO3,((AO5-Proforma!C9)/365)*AO3)</f>
        <v>0</v>
      </c>
      <c r="AP6" s="282" t="s">
        <v>223</v>
      </c>
      <c r="AQ6" s="283"/>
      <c r="AS6" s="106">
        <f>IF(Proforma!C9=Lists!AS4,1*Lists!AS3,((AS5-Proforma!C9)/365)*AS3)</f>
        <v>0</v>
      </c>
      <c r="AT6" s="282" t="s">
        <v>223</v>
      </c>
      <c r="AU6" s="283"/>
      <c r="AW6" s="106">
        <f>IF(Proforma!C9=Lists!AW4,1*Lists!AW3,((AW5-Proforma!C9)/365)*AW3)</f>
        <v>0</v>
      </c>
      <c r="AX6" s="282" t="s">
        <v>223</v>
      </c>
      <c r="AY6" s="283"/>
      <c r="BA6" s="106">
        <f>IF(Proforma!C9=Lists!BA4,1*Lists!BA3,((BA5-Proforma!C9)/365)*BA3)</f>
        <v>0</v>
      </c>
      <c r="BB6" s="282" t="s">
        <v>223</v>
      </c>
      <c r="BC6" s="283"/>
    </row>
    <row r="7" spans="1:55">
      <c r="A7" s="6" t="s">
        <v>5</v>
      </c>
      <c r="G7" s="41">
        <v>4118</v>
      </c>
      <c r="H7" s="39" t="s">
        <v>73</v>
      </c>
    </row>
    <row r="8" spans="1:55">
      <c r="A8" s="6" t="s">
        <v>4</v>
      </c>
      <c r="G8" s="41">
        <v>4120</v>
      </c>
      <c r="H8" s="39" t="s">
        <v>185</v>
      </c>
    </row>
    <row r="9" spans="1:55">
      <c r="A9" s="10" t="s">
        <v>205</v>
      </c>
      <c r="G9" s="41">
        <v>4122</v>
      </c>
      <c r="H9" s="39" t="s">
        <v>187</v>
      </c>
    </row>
    <row r="10" spans="1:55" ht="13.5" thickBot="1">
      <c r="A10" s="6" t="s">
        <v>13</v>
      </c>
      <c r="G10" s="41">
        <v>4124</v>
      </c>
      <c r="H10" s="39" t="s">
        <v>181</v>
      </c>
      <c r="M10" s="284" t="s">
        <v>360</v>
      </c>
      <c r="N10" s="285"/>
      <c r="O10" s="286"/>
      <c r="Q10" s="284" t="s">
        <v>207</v>
      </c>
      <c r="R10" s="285"/>
      <c r="S10" s="286"/>
      <c r="U10" s="284" t="s">
        <v>420</v>
      </c>
      <c r="V10" s="285"/>
      <c r="W10" s="286"/>
      <c r="Y10" s="299" t="s">
        <v>421</v>
      </c>
      <c r="Z10" s="285"/>
      <c r="AA10" s="286"/>
      <c r="AC10" s="299" t="s">
        <v>373</v>
      </c>
      <c r="AD10" s="285"/>
      <c r="AE10" s="286"/>
      <c r="AG10" s="299" t="s">
        <v>274</v>
      </c>
      <c r="AH10" s="285"/>
      <c r="AI10" s="286"/>
    </row>
    <row r="11" spans="1:55">
      <c r="A11" s="10" t="s">
        <v>21</v>
      </c>
      <c r="G11" s="41">
        <v>4126</v>
      </c>
      <c r="H11" s="39" t="s">
        <v>50</v>
      </c>
      <c r="M11" s="120">
        <v>197300</v>
      </c>
      <c r="N11" s="287" t="s">
        <v>361</v>
      </c>
      <c r="O11" s="288"/>
      <c r="Q11" s="50">
        <f>Proforma!C16</f>
        <v>0</v>
      </c>
      <c r="R11" s="300" t="s">
        <v>214</v>
      </c>
      <c r="S11" s="301"/>
      <c r="U11" s="50">
        <f>Proforma!C18</f>
        <v>0</v>
      </c>
      <c r="V11" s="300" t="s">
        <v>214</v>
      </c>
      <c r="W11" s="301"/>
      <c r="Y11" s="50">
        <f>Proforma!C20</f>
        <v>0</v>
      </c>
      <c r="Z11" s="300" t="s">
        <v>214</v>
      </c>
      <c r="AA11" s="301"/>
      <c r="AC11" s="50">
        <f>Proforma!C21</f>
        <v>0</v>
      </c>
      <c r="AD11" s="300" t="s">
        <v>214</v>
      </c>
      <c r="AE11" s="301"/>
      <c r="AG11" s="50">
        <f>Proforma!L10*Proforma!L11*Proforma!A39*Proforma!L39</f>
        <v>0</v>
      </c>
      <c r="AH11" s="300" t="s">
        <v>214</v>
      </c>
      <c r="AI11" s="301"/>
    </row>
    <row r="12" spans="1:55">
      <c r="A12" s="6" t="s">
        <v>1</v>
      </c>
      <c r="G12" s="41">
        <v>4128</v>
      </c>
      <c r="H12" s="39" t="s">
        <v>188</v>
      </c>
      <c r="M12" s="46">
        <v>44743</v>
      </c>
      <c r="N12" s="289" t="s">
        <v>224</v>
      </c>
      <c r="O12" s="290"/>
      <c r="Q12" s="46">
        <v>44743</v>
      </c>
      <c r="R12" s="302" t="s">
        <v>224</v>
      </c>
      <c r="S12" s="283"/>
      <c r="U12" s="46">
        <v>44743</v>
      </c>
      <c r="V12" s="302" t="s">
        <v>224</v>
      </c>
      <c r="W12" s="283"/>
      <c r="Y12" s="46">
        <v>44743</v>
      </c>
      <c r="Z12" s="302" t="s">
        <v>224</v>
      </c>
      <c r="AA12" s="283"/>
      <c r="AC12" s="46">
        <v>44743</v>
      </c>
      <c r="AD12" s="302" t="s">
        <v>224</v>
      </c>
      <c r="AE12" s="283"/>
      <c r="AG12" s="46">
        <v>44743</v>
      </c>
      <c r="AH12" s="302" t="s">
        <v>224</v>
      </c>
      <c r="AI12" s="283"/>
    </row>
    <row r="13" spans="1:55">
      <c r="G13" s="41">
        <v>4130</v>
      </c>
      <c r="H13" s="39" t="s">
        <v>149</v>
      </c>
      <c r="M13" s="46">
        <v>45107</v>
      </c>
      <c r="N13" s="289" t="s">
        <v>215</v>
      </c>
      <c r="O13" s="290"/>
      <c r="Q13" s="46">
        <v>45107</v>
      </c>
      <c r="R13" s="302" t="s">
        <v>215</v>
      </c>
      <c r="S13" s="283"/>
      <c r="U13" s="46">
        <v>45107</v>
      </c>
      <c r="V13" s="302" t="s">
        <v>215</v>
      </c>
      <c r="W13" s="283"/>
      <c r="Y13" s="46">
        <v>45107</v>
      </c>
      <c r="Z13" s="302" t="s">
        <v>215</v>
      </c>
      <c r="AA13" s="283"/>
      <c r="AC13" s="46">
        <v>45107</v>
      </c>
      <c r="AD13" s="302" t="s">
        <v>215</v>
      </c>
      <c r="AE13" s="283"/>
      <c r="AG13" s="46">
        <v>45107</v>
      </c>
      <c r="AH13" s="302" t="s">
        <v>215</v>
      </c>
      <c r="AI13" s="283"/>
    </row>
    <row r="14" spans="1:55" ht="13.5" thickBot="1">
      <c r="G14" s="41">
        <v>4132</v>
      </c>
      <c r="H14" s="39" t="s">
        <v>83</v>
      </c>
      <c r="M14" s="121"/>
      <c r="N14" s="47"/>
      <c r="O14" s="48"/>
      <c r="Q14" s="51">
        <f>IF(Proforma!C9=Lists!Q12,1*Lists!Q11,((Q13-Proforma!C9)/365)*Q11)</f>
        <v>0</v>
      </c>
      <c r="R14" s="297" t="s">
        <v>223</v>
      </c>
      <c r="S14" s="298"/>
      <c r="U14" s="51">
        <f>IF(Proforma!C9=Lists!U12,1*Lists!U11,((U13-Proforma!C9)/365)*U11)</f>
        <v>0</v>
      </c>
      <c r="V14" s="297" t="s">
        <v>223</v>
      </c>
      <c r="W14" s="298"/>
      <c r="Y14" s="51">
        <f>IF(Proforma!C9=Lists!Y12,1*Lists!Y11,((Y13-Proforma!C9)/365)*Y11)</f>
        <v>0</v>
      </c>
      <c r="Z14" s="297" t="s">
        <v>223</v>
      </c>
      <c r="AA14" s="298"/>
      <c r="AC14" s="51">
        <f>IF(Proforma!C9=Lists!AC12,1*Lists!AC11,((AC13-Proforma!C9)/365)*AC11)</f>
        <v>0</v>
      </c>
      <c r="AD14" s="297" t="s">
        <v>223</v>
      </c>
      <c r="AE14" s="298"/>
      <c r="AG14" s="51">
        <f>IF(Proforma!C9=Lists!AG12,1*Lists!AG11,((AG13-Proforma!C9)/365)*AG11)</f>
        <v>0</v>
      </c>
      <c r="AH14" s="297" t="s">
        <v>223</v>
      </c>
      <c r="AI14" s="298"/>
    </row>
    <row r="15" spans="1:55">
      <c r="G15" s="41">
        <v>4134</v>
      </c>
      <c r="H15" s="39" t="s">
        <v>186</v>
      </c>
    </row>
    <row r="16" spans="1:55">
      <c r="G16" s="41">
        <v>4136</v>
      </c>
      <c r="H16" s="39" t="s">
        <v>43</v>
      </c>
      <c r="M16" s="291" t="s">
        <v>362</v>
      </c>
      <c r="N16" s="291"/>
      <c r="O16" s="291"/>
    </row>
    <row r="17" spans="7:14">
      <c r="G17" s="41">
        <v>4138</v>
      </c>
      <c r="H17" s="39" t="s">
        <v>184</v>
      </c>
      <c r="M17">
        <v>0.3</v>
      </c>
      <c r="N17" t="s">
        <v>363</v>
      </c>
    </row>
    <row r="18" spans="7:14">
      <c r="G18" s="41">
        <v>4140</v>
      </c>
      <c r="H18" s="39" t="s">
        <v>189</v>
      </c>
    </row>
    <row r="19" spans="7:14">
      <c r="G19" s="41">
        <v>4141</v>
      </c>
      <c r="H19" s="40" t="s">
        <v>171</v>
      </c>
    </row>
    <row r="20" spans="7:14">
      <c r="G20" s="41">
        <v>4142</v>
      </c>
      <c r="H20" s="39" t="s">
        <v>180</v>
      </c>
    </row>
    <row r="21" spans="7:14">
      <c r="G21" s="41">
        <v>4144</v>
      </c>
      <c r="H21" s="39" t="s">
        <v>183</v>
      </c>
    </row>
    <row r="22" spans="7:14">
      <c r="G22" s="41">
        <v>4146</v>
      </c>
      <c r="H22" s="39" t="s">
        <v>182</v>
      </c>
    </row>
    <row r="26" spans="7:14">
      <c r="G26" s="244" t="s">
        <v>388</v>
      </c>
      <c r="I26" s="244" t="s">
        <v>384</v>
      </c>
    </row>
    <row r="27" spans="7:14">
      <c r="G27" t="s">
        <v>386</v>
      </c>
      <c r="I27" s="13" t="s">
        <v>386</v>
      </c>
    </row>
    <row r="28" spans="7:14">
      <c r="G28" t="s">
        <v>387</v>
      </c>
      <c r="I28" s="13" t="s">
        <v>389</v>
      </c>
    </row>
    <row r="29" spans="7:14">
      <c r="G29" t="s">
        <v>394</v>
      </c>
      <c r="I29" s="13" t="s">
        <v>390</v>
      </c>
    </row>
    <row r="30" spans="7:14">
      <c r="G30" t="s">
        <v>383</v>
      </c>
      <c r="I30" s="13" t="s">
        <v>391</v>
      </c>
    </row>
    <row r="31" spans="7:14">
      <c r="I31" s="13" t="s">
        <v>392</v>
      </c>
    </row>
    <row r="33" spans="7:7">
      <c r="G33" t="s">
        <v>385</v>
      </c>
    </row>
    <row r="34" spans="7:7">
      <c r="G34">
        <v>1</v>
      </c>
    </row>
    <row r="35" spans="7:7">
      <c r="G35">
        <v>2</v>
      </c>
    </row>
    <row r="36" spans="7:7">
      <c r="G36">
        <v>3</v>
      </c>
    </row>
    <row r="37" spans="7:7">
      <c r="G37">
        <v>4</v>
      </c>
    </row>
    <row r="38" spans="7:7">
      <c r="G38">
        <v>5</v>
      </c>
    </row>
  </sheetData>
  <mergeCells count="85">
    <mergeCell ref="AG10:AI10"/>
    <mergeCell ref="AH11:AI11"/>
    <mergeCell ref="AH12:AI12"/>
    <mergeCell ref="AH13:AI13"/>
    <mergeCell ref="AH14:AI14"/>
    <mergeCell ref="AC10:AE10"/>
    <mergeCell ref="AD11:AE11"/>
    <mergeCell ref="AD12:AE12"/>
    <mergeCell ref="AD13:AE13"/>
    <mergeCell ref="AD14:AE14"/>
    <mergeCell ref="Y10:AA10"/>
    <mergeCell ref="Z11:AA11"/>
    <mergeCell ref="Z12:AA12"/>
    <mergeCell ref="Z13:AA13"/>
    <mergeCell ref="Z14:AA14"/>
    <mergeCell ref="U10:W10"/>
    <mergeCell ref="V11:W11"/>
    <mergeCell ref="V12:W12"/>
    <mergeCell ref="V13:W13"/>
    <mergeCell ref="V14:W14"/>
    <mergeCell ref="Q10:S10"/>
    <mergeCell ref="R11:S11"/>
    <mergeCell ref="R12:S12"/>
    <mergeCell ref="R13:S13"/>
    <mergeCell ref="R14:S14"/>
    <mergeCell ref="AD6:AE6"/>
    <mergeCell ref="AG2:AI2"/>
    <mergeCell ref="AH3:AI3"/>
    <mergeCell ref="AH4:AI4"/>
    <mergeCell ref="AH5:AI5"/>
    <mergeCell ref="AH6:AI6"/>
    <mergeCell ref="Q2:S2"/>
    <mergeCell ref="R3:S3"/>
    <mergeCell ref="R4:S4"/>
    <mergeCell ref="R5:S5"/>
    <mergeCell ref="AC2:AE2"/>
    <mergeCell ref="AD3:AE3"/>
    <mergeCell ref="AD4:AE4"/>
    <mergeCell ref="AD5:AE5"/>
    <mergeCell ref="M1:AA1"/>
    <mergeCell ref="V6:W6"/>
    <mergeCell ref="Z6:AA6"/>
    <mergeCell ref="R6:S6"/>
    <mergeCell ref="M2:O2"/>
    <mergeCell ref="N3:O3"/>
    <mergeCell ref="N4:O4"/>
    <mergeCell ref="N5:O5"/>
    <mergeCell ref="U2:W2"/>
    <mergeCell ref="V3:W3"/>
    <mergeCell ref="V4:W4"/>
    <mergeCell ref="V5:W5"/>
    <mergeCell ref="Y2:AA2"/>
    <mergeCell ref="Z3:AA3"/>
    <mergeCell ref="Z4:AA4"/>
    <mergeCell ref="Z5:AA5"/>
    <mergeCell ref="AK2:AM2"/>
    <mergeCell ref="AL3:AM3"/>
    <mergeCell ref="AL4:AM4"/>
    <mergeCell ref="AL5:AM5"/>
    <mergeCell ref="AL6:AM6"/>
    <mergeCell ref="AO2:AQ2"/>
    <mergeCell ref="AP3:AQ3"/>
    <mergeCell ref="AP4:AQ4"/>
    <mergeCell ref="AP5:AQ5"/>
    <mergeCell ref="AP6:AQ6"/>
    <mergeCell ref="AS2:AU2"/>
    <mergeCell ref="AT3:AU3"/>
    <mergeCell ref="AT4:AU4"/>
    <mergeCell ref="AT5:AU5"/>
    <mergeCell ref="AT6:AU6"/>
    <mergeCell ref="AW2:AY2"/>
    <mergeCell ref="AX3:AY3"/>
    <mergeCell ref="AX4:AY4"/>
    <mergeCell ref="AX5:AY5"/>
    <mergeCell ref="AX6:AY6"/>
    <mergeCell ref="M10:O10"/>
    <mergeCell ref="N11:O11"/>
    <mergeCell ref="N12:O12"/>
    <mergeCell ref="N13:O13"/>
    <mergeCell ref="M16:O16"/>
    <mergeCell ref="BA2:BC2"/>
    <mergeCell ref="BB3:BC3"/>
    <mergeCell ref="BB4:BC4"/>
    <mergeCell ref="BB5:BC5"/>
    <mergeCell ref="BB6:BC6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4"/>
  <sheetViews>
    <sheetView zoomScale="80" zoomScaleNormal="80" workbookViewId="0">
      <selection sqref="A1:B1"/>
    </sheetView>
  </sheetViews>
  <sheetFormatPr defaultColWidth="8.7109375" defaultRowHeight="15"/>
  <cols>
    <col min="1" max="1" width="47.7109375" style="32" bestFit="1" customWidth="1"/>
    <col min="2" max="4" width="12.5703125" style="24" customWidth="1"/>
    <col min="5" max="5" width="15.42578125" style="25" customWidth="1"/>
    <col min="6" max="8" width="16.42578125" style="24" customWidth="1"/>
    <col min="9" max="9" width="16.42578125" style="22" customWidth="1"/>
    <col min="10" max="10" width="49.42578125" style="22" bestFit="1" customWidth="1"/>
    <col min="11" max="14" width="9.42578125" style="22" hidden="1" customWidth="1"/>
    <col min="15" max="17" width="8.7109375" style="22" hidden="1" customWidth="1"/>
    <col min="18" max="18" width="11.42578125" style="22" hidden="1" customWidth="1"/>
    <col min="19" max="19" width="0" style="22" hidden="1" customWidth="1"/>
    <col min="20" max="20" width="8.7109375" style="24"/>
    <col min="21" max="16384" width="8.7109375" style="22"/>
  </cols>
  <sheetData>
    <row r="1" spans="1:23" ht="60">
      <c r="A1" s="14" t="s">
        <v>25</v>
      </c>
      <c r="B1" s="15" t="s">
        <v>26</v>
      </c>
      <c r="C1" s="15" t="s">
        <v>27</v>
      </c>
      <c r="D1" s="16" t="s">
        <v>28</v>
      </c>
      <c r="E1" s="17" t="s">
        <v>29</v>
      </c>
      <c r="F1" s="15" t="s">
        <v>30</v>
      </c>
      <c r="G1" s="15" t="s">
        <v>31</v>
      </c>
      <c r="H1" s="16" t="s">
        <v>32</v>
      </c>
      <c r="I1" s="17" t="s">
        <v>33</v>
      </c>
      <c r="J1" s="18" t="s">
        <v>269</v>
      </c>
      <c r="K1" s="19" t="s">
        <v>34</v>
      </c>
      <c r="L1" s="19" t="s">
        <v>35</v>
      </c>
      <c r="M1" s="20" t="s">
        <v>36</v>
      </c>
      <c r="N1" s="21" t="s">
        <v>37</v>
      </c>
      <c r="O1" s="19" t="s">
        <v>30</v>
      </c>
      <c r="P1" s="19" t="s">
        <v>31</v>
      </c>
      <c r="Q1" s="20" t="s">
        <v>32</v>
      </c>
      <c r="R1" s="17" t="s">
        <v>38</v>
      </c>
      <c r="S1" s="20" t="s">
        <v>39</v>
      </c>
      <c r="T1" s="20" t="s">
        <v>40</v>
      </c>
      <c r="U1" s="54" t="s">
        <v>192</v>
      </c>
      <c r="V1" s="20" t="s">
        <v>41</v>
      </c>
      <c r="W1" s="22" t="s">
        <v>191</v>
      </c>
    </row>
    <row r="2" spans="1:23">
      <c r="A2" s="23" t="s">
        <v>42</v>
      </c>
      <c r="B2" s="24">
        <v>4052</v>
      </c>
      <c r="C2" s="24">
        <v>3606</v>
      </c>
      <c r="D2" s="24">
        <f>VLOOKUP(A2,'[3]2017'!$B:$I,8,FALSE)</f>
        <v>3362</v>
      </c>
      <c r="E2" s="25">
        <f>IFERROR(AVERAGE(B2:D2),0)</f>
        <v>3673.3333333333335</v>
      </c>
      <c r="F2" s="26">
        <v>17</v>
      </c>
      <c r="G2" s="24">
        <v>11</v>
      </c>
      <c r="H2" s="24">
        <f>VLOOKUP(A2,'[3]2017'!$B:$D,3,FALSE)</f>
        <v>13</v>
      </c>
      <c r="I2" s="27">
        <f>AVERAGE(F2:H2)</f>
        <v>13.666666666666666</v>
      </c>
      <c r="J2" s="28" t="s">
        <v>42</v>
      </c>
      <c r="K2" s="29">
        <v>199338</v>
      </c>
      <c r="L2" s="29">
        <v>177284</v>
      </c>
      <c r="M2" s="29">
        <v>185000</v>
      </c>
      <c r="N2" s="29">
        <f>IFERROR(AVERAGE(K2:M2),0)</f>
        <v>187207.33333333334</v>
      </c>
      <c r="O2" s="24">
        <v>47</v>
      </c>
      <c r="P2" s="24">
        <v>34</v>
      </c>
      <c r="Q2" s="24">
        <v>33</v>
      </c>
      <c r="R2" s="27">
        <f>AVERAGE(O2:Q2)</f>
        <v>38</v>
      </c>
      <c r="S2" s="30">
        <v>50.842888688967037</v>
      </c>
      <c r="T2" s="77" t="s">
        <v>268</v>
      </c>
      <c r="U2" s="43">
        <v>59.806442528646045</v>
      </c>
      <c r="V2" s="22">
        <f>IFERROR(VLOOKUP(A2,'Count of Providers as of Jan 18'!A:B,2,FALSE),0)</f>
        <v>6</v>
      </c>
      <c r="W2" s="42">
        <f>S2-U2</f>
        <v>-8.9635538396790082</v>
      </c>
    </row>
    <row r="3" spans="1:23">
      <c r="A3" s="23" t="str">
        <f>J3</f>
        <v>Anesthesiology: Pain Management</v>
      </c>
      <c r="F3" s="26"/>
      <c r="I3" s="27"/>
      <c r="J3" s="28" t="s">
        <v>44</v>
      </c>
      <c r="K3" s="29">
        <v>337293</v>
      </c>
      <c r="L3" s="29">
        <v>357432</v>
      </c>
      <c r="M3" s="29">
        <v>357263</v>
      </c>
      <c r="N3" s="29">
        <f t="shared" ref="N3:N71" si="0">IFERROR(AVERAGE(K3:M3),0)</f>
        <v>350662.66666666669</v>
      </c>
      <c r="O3" s="24">
        <v>1375</v>
      </c>
      <c r="P3" s="24">
        <v>1008</v>
      </c>
      <c r="Q3" s="24">
        <v>1087</v>
      </c>
      <c r="R3" s="27">
        <f t="shared" ref="R3:R71" si="1">AVERAGE(O3:Q3)</f>
        <v>1156.6666666666667</v>
      </c>
      <c r="S3" s="30">
        <v>54.37</v>
      </c>
      <c r="U3" s="43">
        <v>83.935873255375341</v>
      </c>
      <c r="V3" s="22">
        <f>IFERROR(VLOOKUP(A3,'Count of Providers as of Jan 18'!A:B,2,FALSE),0)</f>
        <v>6</v>
      </c>
      <c r="W3" s="42">
        <f t="shared" ref="W3:W71" si="2">S3-U3</f>
        <v>-29.565873255375344</v>
      </c>
    </row>
    <row r="4" spans="1:23">
      <c r="A4" s="23" t="s">
        <v>44</v>
      </c>
      <c r="B4" s="24">
        <v>5044</v>
      </c>
      <c r="C4" s="24">
        <v>4266</v>
      </c>
      <c r="D4" s="24">
        <f>VLOOKUP(A4,'[3]2017'!$B:$I,8,FALSE)</f>
        <v>4502</v>
      </c>
      <c r="E4" s="25">
        <f t="shared" ref="E4:E65" si="3">IFERROR(AVERAGE(B4:D4),0)</f>
        <v>4604</v>
      </c>
      <c r="F4" s="26">
        <v>25</v>
      </c>
      <c r="G4" s="24">
        <v>25</v>
      </c>
      <c r="H4" s="24">
        <f>VLOOKUP(A4,'[3]2017'!$B:$D,3,FALSE)</f>
        <v>33</v>
      </c>
      <c r="I4" s="27">
        <f t="shared" ref="I4:I65" si="4">AVERAGE(F4:H4)</f>
        <v>27.666666666666668</v>
      </c>
      <c r="J4" s="28" t="s">
        <v>45</v>
      </c>
      <c r="K4" s="29">
        <v>321583</v>
      </c>
      <c r="L4" s="29">
        <v>338877</v>
      </c>
      <c r="M4" s="29">
        <v>361388</v>
      </c>
      <c r="N4" s="29">
        <f t="shared" si="0"/>
        <v>340616</v>
      </c>
      <c r="O4" s="24">
        <v>66</v>
      </c>
      <c r="P4" s="24">
        <v>56</v>
      </c>
      <c r="Q4" s="24">
        <v>70</v>
      </c>
      <c r="R4" s="27">
        <f t="shared" si="1"/>
        <v>64</v>
      </c>
      <c r="S4" s="30">
        <v>80.231607222802566</v>
      </c>
      <c r="U4" s="43">
        <v>41.775672810587153</v>
      </c>
      <c r="V4" s="22">
        <f>IFERROR(VLOOKUP(A4,'Count of Providers as of Jan 18'!A:B,2,FALSE),0)</f>
        <v>6</v>
      </c>
      <c r="W4" s="42">
        <f t="shared" si="2"/>
        <v>38.455934412215413</v>
      </c>
    </row>
    <row r="5" spans="1:23">
      <c r="A5" s="23" t="s">
        <v>45</v>
      </c>
      <c r="B5" s="24">
        <v>8506</v>
      </c>
      <c r="C5" s="24">
        <v>9004</v>
      </c>
      <c r="D5" s="24">
        <f>VLOOKUP(A5,'[3]2017'!$B:$I,8,FALSE)</f>
        <v>9587</v>
      </c>
      <c r="E5" s="25">
        <f t="shared" si="3"/>
        <v>9032.3333333333339</v>
      </c>
      <c r="F5" s="26">
        <v>39</v>
      </c>
      <c r="G5" s="24">
        <v>35</v>
      </c>
      <c r="H5" s="24">
        <f>VLOOKUP(A5,'[3]2017'!$B:$D,3,FALSE)</f>
        <v>25</v>
      </c>
      <c r="I5" s="27">
        <f t="shared" si="4"/>
        <v>33</v>
      </c>
      <c r="J5" s="28" t="s">
        <v>46</v>
      </c>
      <c r="K5" s="29">
        <v>300756</v>
      </c>
      <c r="L5" s="29">
        <v>350333</v>
      </c>
      <c r="M5" s="29">
        <v>405000</v>
      </c>
      <c r="N5" s="29">
        <f t="shared" si="0"/>
        <v>352029.66666666669</v>
      </c>
      <c r="O5" s="24">
        <v>83</v>
      </c>
      <c r="P5" s="24">
        <v>59</v>
      </c>
      <c r="Q5" s="24">
        <v>69</v>
      </c>
      <c r="R5" s="27">
        <f t="shared" si="1"/>
        <v>70.333333333333329</v>
      </c>
      <c r="S5" s="30">
        <v>42.221145655877343</v>
      </c>
      <c r="U5" s="43">
        <v>50.651794413770709</v>
      </c>
      <c r="V5" s="22">
        <f>IFERROR(VLOOKUP(A5,'Count of Providers as of Jan 18'!A:B,2,FALSE),0)</f>
        <v>6</v>
      </c>
      <c r="W5" s="42">
        <f t="shared" si="2"/>
        <v>-8.4306487578933655</v>
      </c>
    </row>
    <row r="6" spans="1:23">
      <c r="A6" s="23" t="s">
        <v>46</v>
      </c>
      <c r="B6" s="24">
        <v>8377</v>
      </c>
      <c r="C6" s="24">
        <v>7053</v>
      </c>
      <c r="D6" s="24">
        <f>VLOOKUP(A6,'[3]2017'!$B:$I,8,FALSE)</f>
        <v>8642</v>
      </c>
      <c r="E6" s="25">
        <f t="shared" si="3"/>
        <v>8024</v>
      </c>
      <c r="F6" s="26">
        <v>16</v>
      </c>
      <c r="G6" s="24">
        <v>16</v>
      </c>
      <c r="H6" s="24">
        <f>VLOOKUP(A6,'[3]2017'!$B:$D,3,FALSE)</f>
        <v>52</v>
      </c>
      <c r="I6" s="27">
        <f t="shared" si="4"/>
        <v>28</v>
      </c>
      <c r="J6" s="28" t="s">
        <v>47</v>
      </c>
      <c r="K6" s="29">
        <v>342319</v>
      </c>
      <c r="L6" s="29">
        <v>253802</v>
      </c>
      <c r="M6" s="29">
        <v>274162</v>
      </c>
      <c r="N6" s="29">
        <f t="shared" si="0"/>
        <v>290094.33333333331</v>
      </c>
      <c r="O6" s="24">
        <v>92</v>
      </c>
      <c r="P6" s="24">
        <v>83</v>
      </c>
      <c r="Q6" s="24">
        <v>86</v>
      </c>
      <c r="R6" s="27">
        <f t="shared" si="1"/>
        <v>87</v>
      </c>
      <c r="S6" s="30">
        <v>46.8223083548665</v>
      </c>
      <c r="U6" s="43">
        <v>45.885778194674934</v>
      </c>
      <c r="V6" s="22">
        <f>IFERROR(VLOOKUP(A6,'Count of Providers as of Jan 18'!A:B,2,FALSE),0)</f>
        <v>2</v>
      </c>
      <c r="W6" s="42">
        <f t="shared" si="2"/>
        <v>0.9365301601915661</v>
      </c>
    </row>
    <row r="7" spans="1:23">
      <c r="A7" s="23" t="s">
        <v>47</v>
      </c>
      <c r="B7" s="24">
        <v>8532</v>
      </c>
      <c r="C7" s="24">
        <v>9558</v>
      </c>
      <c r="D7" s="24">
        <f>VLOOKUP(A7,'[3]2017'!$B:$I,8,FALSE)</f>
        <v>9029</v>
      </c>
      <c r="E7" s="25">
        <f t="shared" si="3"/>
        <v>9039.6666666666661</v>
      </c>
      <c r="F7" s="26">
        <v>48</v>
      </c>
      <c r="G7" s="24">
        <v>57</v>
      </c>
      <c r="H7" s="24">
        <f>VLOOKUP(A7,'[3]2017'!$B:$D,3,FALSE)</f>
        <v>53</v>
      </c>
      <c r="I7" s="27">
        <f t="shared" si="4"/>
        <v>52.666666666666664</v>
      </c>
      <c r="J7" s="28" t="s">
        <v>48</v>
      </c>
      <c r="K7" s="29">
        <v>352500</v>
      </c>
      <c r="L7" s="29">
        <v>385409</v>
      </c>
      <c r="M7" s="29">
        <v>400000</v>
      </c>
      <c r="N7" s="29">
        <f t="shared" si="0"/>
        <v>379303</v>
      </c>
      <c r="O7" s="24">
        <v>94</v>
      </c>
      <c r="P7" s="24">
        <v>78</v>
      </c>
      <c r="Q7" s="24">
        <v>95</v>
      </c>
      <c r="R7" s="27">
        <f t="shared" si="1"/>
        <v>89</v>
      </c>
      <c r="S7" s="30">
        <v>43.892649277861608</v>
      </c>
      <c r="U7" s="43">
        <v>44.944835792479779</v>
      </c>
      <c r="V7" s="22">
        <f>IFERROR(VLOOKUP(A7,'Count of Providers as of Jan 18'!A:B,2,FALSE),0)</f>
        <v>6</v>
      </c>
      <c r="W7" s="42">
        <f t="shared" si="2"/>
        <v>-1.052186514618171</v>
      </c>
    </row>
    <row r="8" spans="1:23">
      <c r="A8" s="23" t="s">
        <v>48</v>
      </c>
      <c r="B8" s="24">
        <v>6311</v>
      </c>
      <c r="C8" s="24">
        <v>6376</v>
      </c>
      <c r="D8" s="24">
        <f>VLOOKUP(A8,'[3]2017'!$B:$I,8,FALSE)</f>
        <v>6469</v>
      </c>
      <c r="E8" s="25">
        <f t="shared" si="3"/>
        <v>6385.333333333333</v>
      </c>
      <c r="F8" s="26">
        <v>164</v>
      </c>
      <c r="G8" s="24">
        <v>157</v>
      </c>
      <c r="H8" s="24">
        <f>VLOOKUP(A8,'[3]2017'!$B:$D,3,FALSE)</f>
        <v>127</v>
      </c>
      <c r="I8" s="27">
        <f t="shared" si="4"/>
        <v>149.33333333333334</v>
      </c>
      <c r="J8" s="28" t="s">
        <v>49</v>
      </c>
      <c r="K8" s="29">
        <v>275000</v>
      </c>
      <c r="L8" s="29">
        <v>290567</v>
      </c>
      <c r="M8" s="29">
        <v>287493</v>
      </c>
      <c r="N8" s="29">
        <f t="shared" si="0"/>
        <v>284353.33333333331</v>
      </c>
      <c r="O8" s="24">
        <v>416</v>
      </c>
      <c r="P8" s="24">
        <v>270</v>
      </c>
      <c r="Q8" s="24">
        <v>373</v>
      </c>
      <c r="R8" s="27">
        <f t="shared" si="1"/>
        <v>353</v>
      </c>
      <c r="S8" s="30">
        <v>45.504301984383552</v>
      </c>
      <c r="U8" s="43">
        <v>66.138417130965962</v>
      </c>
      <c r="V8" s="22">
        <f>IFERROR(VLOOKUP(A8,'Count of Providers as of Jan 18'!A:B,2,FALSE),0)</f>
        <v>15</v>
      </c>
      <c r="W8" s="42">
        <f t="shared" si="2"/>
        <v>-20.63411514658241</v>
      </c>
    </row>
    <row r="9" spans="1:23">
      <c r="A9" s="23" t="s">
        <v>49</v>
      </c>
      <c r="B9" s="24">
        <v>4562</v>
      </c>
      <c r="C9" s="24">
        <v>7369</v>
      </c>
      <c r="D9" s="24">
        <f>VLOOKUP(A9,'[3]2017'!$B:$I,8,FALSE)</f>
        <v>5369</v>
      </c>
      <c r="E9" s="25">
        <f t="shared" si="3"/>
        <v>5766.666666666667</v>
      </c>
      <c r="F9" s="26">
        <v>14</v>
      </c>
      <c r="G9" s="24">
        <v>60</v>
      </c>
      <c r="H9" s="24">
        <f>VLOOKUP(A9,'[3]2017'!$B:$D,3,FALSE)</f>
        <v>12</v>
      </c>
      <c r="I9" s="27">
        <f t="shared" si="4"/>
        <v>28.666666666666668</v>
      </c>
      <c r="J9" s="28" t="s">
        <v>50</v>
      </c>
      <c r="K9" s="29">
        <v>284041</v>
      </c>
      <c r="L9" s="29">
        <v>300002</v>
      </c>
      <c r="M9" s="29">
        <v>265247</v>
      </c>
      <c r="N9" s="29">
        <f t="shared" si="0"/>
        <v>283096.66666666669</v>
      </c>
      <c r="O9" s="24">
        <v>36</v>
      </c>
      <c r="P9" s="24">
        <v>95</v>
      </c>
      <c r="Q9" s="24">
        <v>66</v>
      </c>
      <c r="R9" s="27">
        <f t="shared" si="1"/>
        <v>65.666666666666671</v>
      </c>
      <c r="S9" s="30">
        <v>54.813341169556274</v>
      </c>
      <c r="U9" s="43">
        <v>49.784257171325187</v>
      </c>
      <c r="V9" s="22">
        <f>IFERROR(VLOOKUP(A9,'Count of Providers as of Jan 18'!A:B,2,FALSE),0)</f>
        <v>3</v>
      </c>
      <c r="W9" s="42">
        <f t="shared" si="2"/>
        <v>5.0290839982310871</v>
      </c>
    </row>
    <row r="10" spans="1:23">
      <c r="A10" s="23" t="s">
        <v>50</v>
      </c>
      <c r="B10" s="24">
        <v>6831</v>
      </c>
      <c r="C10" s="24">
        <v>6871</v>
      </c>
      <c r="D10" s="24">
        <f>VLOOKUP(A10,'[3]2017'!$B:$I,8,FALSE)</f>
        <v>6588</v>
      </c>
      <c r="E10" s="25">
        <f t="shared" si="3"/>
        <v>6763.333333333333</v>
      </c>
      <c r="F10" s="26">
        <v>70</v>
      </c>
      <c r="G10" s="24">
        <v>49</v>
      </c>
      <c r="H10" s="24">
        <f>VLOOKUP(A10,'[3]2017'!$B:$D,3,FALSE)</f>
        <v>60</v>
      </c>
      <c r="I10" s="27">
        <f t="shared" si="4"/>
        <v>59.666666666666664</v>
      </c>
      <c r="J10" s="28" t="s">
        <v>51</v>
      </c>
      <c r="K10" s="29">
        <v>300409</v>
      </c>
      <c r="L10" s="29">
        <v>307889</v>
      </c>
      <c r="M10" s="29">
        <v>311125</v>
      </c>
      <c r="N10" s="29">
        <f t="shared" si="0"/>
        <v>306474.33333333331</v>
      </c>
      <c r="O10" s="24">
        <v>172</v>
      </c>
      <c r="P10" s="24">
        <v>106</v>
      </c>
      <c r="Q10" s="24">
        <v>135</v>
      </c>
      <c r="R10" s="27">
        <f t="shared" si="1"/>
        <v>137.66666666666666</v>
      </c>
      <c r="S10" s="30">
        <v>48.44332570556827</v>
      </c>
      <c r="T10" s="77" t="s">
        <v>268</v>
      </c>
      <c r="U10" s="43">
        <v>48.710388528170043</v>
      </c>
      <c r="V10" s="22">
        <f>IFERROR(VLOOKUP(A10,'Count of Providers as of Jan 18'!A:B,2,FALSE),0)</f>
        <v>15</v>
      </c>
      <c r="W10" s="42">
        <f t="shared" si="2"/>
        <v>-0.26706282260177261</v>
      </c>
    </row>
    <row r="11" spans="1:23">
      <c r="A11" s="23" t="s">
        <v>51</v>
      </c>
      <c r="B11" s="24" t="s">
        <v>52</v>
      </c>
      <c r="C11" s="24" t="s">
        <v>52</v>
      </c>
      <c r="D11" s="24">
        <f>VLOOKUP(A11,'[3]2017'!$B:$I,8,FALSE)</f>
        <v>0</v>
      </c>
      <c r="E11" s="25">
        <f t="shared" si="3"/>
        <v>0</v>
      </c>
      <c r="F11" s="26">
        <v>5</v>
      </c>
      <c r="G11" s="24" t="s">
        <v>52</v>
      </c>
      <c r="H11" s="24">
        <f>VLOOKUP(A11,'[3]2017'!$B:$D,3,FALSE)</f>
        <v>7</v>
      </c>
      <c r="I11" s="27">
        <f t="shared" si="4"/>
        <v>6</v>
      </c>
      <c r="J11" s="28" t="s">
        <v>53</v>
      </c>
      <c r="K11" s="29" t="s">
        <v>52</v>
      </c>
      <c r="L11" s="29" t="s">
        <v>52</v>
      </c>
      <c r="M11" s="29">
        <v>430705</v>
      </c>
      <c r="N11" s="29">
        <f t="shared" si="0"/>
        <v>430705</v>
      </c>
      <c r="O11" s="24">
        <v>6</v>
      </c>
      <c r="P11" s="24" t="s">
        <v>52</v>
      </c>
      <c r="Q11" s="24">
        <v>10</v>
      </c>
      <c r="R11" s="27">
        <f t="shared" si="1"/>
        <v>8</v>
      </c>
      <c r="S11" s="30">
        <v>48.44332570556827</v>
      </c>
      <c r="T11" s="77" t="s">
        <v>268</v>
      </c>
      <c r="U11" s="43">
        <v>49.78</v>
      </c>
      <c r="V11" s="22">
        <f>IFERROR(VLOOKUP(A11,'Count of Providers as of Jan 18'!A:B,2,FALSE),0)</f>
        <v>0</v>
      </c>
      <c r="W11" s="42">
        <f t="shared" si="2"/>
        <v>-1.3366742944317309</v>
      </c>
    </row>
    <row r="12" spans="1:23">
      <c r="A12" s="23" t="s">
        <v>53</v>
      </c>
      <c r="B12" s="24">
        <v>18678</v>
      </c>
      <c r="C12" s="24" t="s">
        <v>52</v>
      </c>
      <c r="D12" s="24">
        <f>VLOOKUP(A12,'[3]2017'!$B:$I,8,FALSE)</f>
        <v>21157</v>
      </c>
      <c r="E12" s="25">
        <f t="shared" si="3"/>
        <v>19917.5</v>
      </c>
      <c r="F12" s="26">
        <v>14</v>
      </c>
      <c r="G12" s="24">
        <v>9</v>
      </c>
      <c r="H12" s="24">
        <f>VLOOKUP(A12,'[3]2017'!$B:$D,3,FALSE)</f>
        <v>12</v>
      </c>
      <c r="I12" s="27">
        <f t="shared" si="4"/>
        <v>11.666666666666666</v>
      </c>
      <c r="J12" s="28" t="s">
        <v>54</v>
      </c>
      <c r="K12" s="29">
        <v>749346</v>
      </c>
      <c r="L12" s="29">
        <v>621084</v>
      </c>
      <c r="M12" s="29">
        <v>717511</v>
      </c>
      <c r="N12" s="29">
        <f t="shared" si="0"/>
        <v>695980.33333333337</v>
      </c>
      <c r="O12" s="24">
        <v>20</v>
      </c>
      <c r="P12" s="24">
        <v>13</v>
      </c>
      <c r="Q12" s="24">
        <v>20</v>
      </c>
      <c r="R12" s="27">
        <f t="shared" si="1"/>
        <v>17.666666666666668</v>
      </c>
      <c r="S12" s="30">
        <v>48.44332570556827</v>
      </c>
      <c r="U12" s="43">
        <v>35.926824212271974</v>
      </c>
      <c r="V12" s="22">
        <f>IFERROR(VLOOKUP(A12,'Count of Providers as of Jan 18'!A:B,2,FALSE),0)</f>
        <v>2</v>
      </c>
      <c r="W12" s="42">
        <f t="shared" si="2"/>
        <v>12.516501493296296</v>
      </c>
    </row>
    <row r="13" spans="1:23">
      <c r="A13" s="23" t="s">
        <v>54</v>
      </c>
      <c r="B13" s="24">
        <v>8039</v>
      </c>
      <c r="C13" s="24">
        <v>8580</v>
      </c>
      <c r="D13" s="24">
        <f>VLOOKUP(A13,'[3]2017'!$B:$I,8,FALSE)</f>
        <v>8382</v>
      </c>
      <c r="E13" s="25">
        <f t="shared" si="3"/>
        <v>8333.6666666666661</v>
      </c>
      <c r="F13" s="26">
        <v>193</v>
      </c>
      <c r="G13" s="24">
        <v>189</v>
      </c>
      <c r="H13" s="24">
        <f>VLOOKUP(A13,'[3]2017'!$B:$D,3,FALSE)</f>
        <v>275</v>
      </c>
      <c r="I13" s="27">
        <f t="shared" si="4"/>
        <v>219</v>
      </c>
      <c r="J13" s="28" t="s">
        <v>55</v>
      </c>
      <c r="K13" s="29">
        <v>269200</v>
      </c>
      <c r="L13" s="29">
        <v>265511</v>
      </c>
      <c r="M13" s="29">
        <v>275180</v>
      </c>
      <c r="N13" s="29">
        <f t="shared" si="0"/>
        <v>269963.66666666669</v>
      </c>
      <c r="O13" s="24">
        <v>523</v>
      </c>
      <c r="P13" s="24">
        <v>361</v>
      </c>
      <c r="Q13" s="24">
        <v>504</v>
      </c>
      <c r="R13" s="27">
        <f t="shared" si="1"/>
        <v>462.66666666666669</v>
      </c>
      <c r="S13" s="30">
        <v>33.492738464014167</v>
      </c>
      <c r="U13" s="43">
        <v>49.463542506855944</v>
      </c>
      <c r="V13" s="22">
        <f>IFERROR(VLOOKUP(A13,'Count of Providers as of Jan 18'!A:B,2,FALSE),0)</f>
        <v>41</v>
      </c>
      <c r="W13" s="42">
        <f t="shared" si="2"/>
        <v>-15.970804042841777</v>
      </c>
    </row>
    <row r="14" spans="1:23">
      <c r="A14" s="23" t="s">
        <v>55</v>
      </c>
      <c r="B14" s="24">
        <v>4036</v>
      </c>
      <c r="C14" s="24">
        <v>4121</v>
      </c>
      <c r="D14" s="24">
        <f>VLOOKUP(A14,'[3]2017'!$B:$I,8,FALSE)</f>
        <v>4103</v>
      </c>
      <c r="E14" s="25">
        <f t="shared" si="3"/>
        <v>4086.6666666666665</v>
      </c>
      <c r="F14" s="26">
        <v>69</v>
      </c>
      <c r="G14" s="24">
        <v>63</v>
      </c>
      <c r="H14" s="24">
        <f>VLOOKUP(A14,'[3]2017'!$B:$D,3,FALSE)</f>
        <v>51</v>
      </c>
      <c r="I14" s="27">
        <f t="shared" si="4"/>
        <v>61</v>
      </c>
      <c r="J14" s="28" t="s">
        <v>56</v>
      </c>
      <c r="K14" s="29">
        <v>192301</v>
      </c>
      <c r="L14" s="29">
        <v>193123</v>
      </c>
      <c r="M14" s="29">
        <v>197819</v>
      </c>
      <c r="N14" s="29">
        <f t="shared" si="0"/>
        <v>194414.33333333334</v>
      </c>
      <c r="O14" s="24">
        <v>228</v>
      </c>
      <c r="P14" s="24">
        <v>168</v>
      </c>
      <c r="Q14" s="24">
        <v>181</v>
      </c>
      <c r="R14" s="27">
        <f t="shared" si="1"/>
        <v>192.33333333333334</v>
      </c>
      <c r="S14" s="30">
        <v>48.949585971748661</v>
      </c>
      <c r="U14" s="43">
        <v>39.849201806271068</v>
      </c>
      <c r="V14" s="22">
        <f>IFERROR(VLOOKUP(A14,'Count of Providers as of Jan 18'!A:B,2,FALSE),0)</f>
        <v>14</v>
      </c>
      <c r="W14" s="42">
        <f t="shared" si="2"/>
        <v>9.1003841654775925</v>
      </c>
    </row>
    <row r="15" spans="1:23">
      <c r="A15" s="23" t="s">
        <v>56</v>
      </c>
      <c r="B15" s="24">
        <v>5430</v>
      </c>
      <c r="C15" s="24">
        <v>4601</v>
      </c>
      <c r="D15" s="24">
        <f>VLOOKUP(A15,'[3]2017'!$B:$I,8,FALSE)</f>
        <v>5343</v>
      </c>
      <c r="E15" s="25">
        <f t="shared" si="3"/>
        <v>5124.666666666667</v>
      </c>
      <c r="F15" s="26">
        <v>47</v>
      </c>
      <c r="G15" s="24">
        <v>21</v>
      </c>
      <c r="H15" s="24">
        <f>VLOOKUP(A15,'[3]2017'!$B:$D,3,FALSE)</f>
        <v>71</v>
      </c>
      <c r="I15" s="27">
        <f t="shared" si="4"/>
        <v>46.333333333333336</v>
      </c>
      <c r="J15" s="28" t="s">
        <v>57</v>
      </c>
      <c r="K15" s="29">
        <v>192717</v>
      </c>
      <c r="L15" s="29">
        <v>195431</v>
      </c>
      <c r="M15" s="29">
        <v>193360</v>
      </c>
      <c r="N15" s="29">
        <f t="shared" si="0"/>
        <v>193836</v>
      </c>
      <c r="O15" s="24">
        <v>113</v>
      </c>
      <c r="P15" s="24">
        <v>56</v>
      </c>
      <c r="Q15" s="24">
        <v>131</v>
      </c>
      <c r="R15" s="27">
        <f t="shared" si="1"/>
        <v>100</v>
      </c>
      <c r="S15" s="30">
        <v>39.409777138749106</v>
      </c>
      <c r="U15" s="43">
        <v>42.074456061034191</v>
      </c>
      <c r="V15" s="22">
        <f>IFERROR(VLOOKUP(A15,'Count of Providers as of Jan 18'!A:B,2,FALSE),0)</f>
        <v>9</v>
      </c>
      <c r="W15" s="42">
        <f t="shared" si="2"/>
        <v>-2.6646789222850842</v>
      </c>
    </row>
    <row r="16" spans="1:23">
      <c r="A16" s="23" t="s">
        <v>57</v>
      </c>
      <c r="B16" s="24">
        <v>4282</v>
      </c>
      <c r="C16" s="24">
        <v>4930</v>
      </c>
      <c r="D16" s="24">
        <f>VLOOKUP(A16,'[3]2017'!$B:$I,8,FALSE)</f>
        <v>4770</v>
      </c>
      <c r="E16" s="25">
        <f t="shared" si="3"/>
        <v>4660.666666666667</v>
      </c>
      <c r="F16" s="26">
        <v>98</v>
      </c>
      <c r="G16" s="24">
        <v>87</v>
      </c>
      <c r="H16" s="24">
        <f>VLOOKUP(A16,'[3]2017'!$B:$D,3,FALSE)</f>
        <v>152</v>
      </c>
      <c r="I16" s="27">
        <f t="shared" si="4"/>
        <v>112.33333333333333</v>
      </c>
      <c r="J16" s="28" t="s">
        <v>58</v>
      </c>
      <c r="K16" s="29">
        <v>188091</v>
      </c>
      <c r="L16" s="29">
        <v>184409</v>
      </c>
      <c r="M16" s="29">
        <v>182776</v>
      </c>
      <c r="N16" s="29">
        <f t="shared" si="0"/>
        <v>185092</v>
      </c>
      <c r="O16" s="24">
        <v>334</v>
      </c>
      <c r="P16" s="24">
        <v>184</v>
      </c>
      <c r="Q16" s="24">
        <v>300</v>
      </c>
      <c r="R16" s="27">
        <f t="shared" si="1"/>
        <v>272.66666666666669</v>
      </c>
      <c r="S16" s="30">
        <v>38.37639348692656</v>
      </c>
      <c r="U16" s="43">
        <v>50.603953468031136</v>
      </c>
      <c r="V16" s="22">
        <f>IFERROR(VLOOKUP(A16,'Count of Providers as of Jan 18'!A:B,2,FALSE),0)</f>
        <v>49</v>
      </c>
      <c r="W16" s="42">
        <f t="shared" si="2"/>
        <v>-12.227559981104577</v>
      </c>
    </row>
    <row r="17" spans="1:23">
      <c r="A17" s="23" t="s">
        <v>58</v>
      </c>
      <c r="B17" s="24" t="s">
        <v>52</v>
      </c>
      <c r="C17" s="24">
        <v>4531</v>
      </c>
      <c r="D17" s="24">
        <f>VLOOKUP(A17,'[3]2017'!$B:$I,8,FALSE)</f>
        <v>0</v>
      </c>
      <c r="E17" s="25">
        <f t="shared" si="3"/>
        <v>2265.5</v>
      </c>
      <c r="F17" s="24" t="s">
        <v>52</v>
      </c>
      <c r="G17" s="24">
        <v>11</v>
      </c>
      <c r="H17" s="24">
        <f>VLOOKUP(A17,'[3]2017'!$B:$D,3,FALSE)</f>
        <v>9</v>
      </c>
      <c r="I17" s="27">
        <f t="shared" si="4"/>
        <v>10</v>
      </c>
      <c r="J17" s="28" t="s">
        <v>59</v>
      </c>
      <c r="K17" s="29" t="s">
        <v>52</v>
      </c>
      <c r="L17" s="29">
        <v>163097</v>
      </c>
      <c r="M17" s="29">
        <v>158681</v>
      </c>
      <c r="N17" s="29">
        <f t="shared" si="0"/>
        <v>160889</v>
      </c>
      <c r="O17" s="24">
        <v>9</v>
      </c>
      <c r="P17" s="24">
        <v>13</v>
      </c>
      <c r="Q17" s="24">
        <v>12</v>
      </c>
      <c r="R17" s="27">
        <f t="shared" si="1"/>
        <v>11.333333333333334</v>
      </c>
      <c r="S17" s="30">
        <v>38.37639348692656</v>
      </c>
      <c r="T17" s="77" t="s">
        <v>268</v>
      </c>
      <c r="U17" s="43">
        <v>43.34</v>
      </c>
      <c r="V17" s="22">
        <f>IFERROR(VLOOKUP(A17,'Count of Providers as of Jan 18'!A:B,2,FALSE),0)</f>
        <v>0</v>
      </c>
      <c r="W17" s="42">
        <f t="shared" si="2"/>
        <v>-4.9636065130734437</v>
      </c>
    </row>
    <row r="18" spans="1:23">
      <c r="A18" s="23" t="s">
        <v>59</v>
      </c>
      <c r="B18" s="24">
        <v>4560</v>
      </c>
      <c r="C18" s="24">
        <v>4187</v>
      </c>
      <c r="D18" s="24">
        <f>VLOOKUP(A18,'[3]2017'!$B:$I,8,FALSE)</f>
        <v>5543</v>
      </c>
      <c r="E18" s="25">
        <f t="shared" si="3"/>
        <v>4763.333333333333</v>
      </c>
      <c r="F18" s="26">
        <v>12</v>
      </c>
      <c r="G18" s="24">
        <v>13</v>
      </c>
      <c r="H18" s="24">
        <f>VLOOKUP(A18,'[3]2017'!$B:$D,3,FALSE)</f>
        <v>14</v>
      </c>
      <c r="I18" s="27">
        <f t="shared" si="4"/>
        <v>13</v>
      </c>
      <c r="J18" s="28" t="s">
        <v>60</v>
      </c>
      <c r="K18" s="29">
        <v>184207</v>
      </c>
      <c r="L18" s="29">
        <v>185792</v>
      </c>
      <c r="M18" s="29">
        <v>184397</v>
      </c>
      <c r="N18" s="29">
        <f t="shared" si="0"/>
        <v>184798.66666666666</v>
      </c>
      <c r="O18" s="24">
        <v>22</v>
      </c>
      <c r="P18" s="24">
        <v>17</v>
      </c>
      <c r="Q18" s="24">
        <v>27</v>
      </c>
      <c r="R18" s="27">
        <f t="shared" si="1"/>
        <v>22</v>
      </c>
      <c r="S18" s="30">
        <v>38.37639348692656</v>
      </c>
      <c r="U18" s="43">
        <v>45.092433039895113</v>
      </c>
      <c r="V18" s="22">
        <f>IFERROR(VLOOKUP(A18,'Count of Providers as of Jan 18'!A:B,2,FALSE),0)</f>
        <v>2</v>
      </c>
      <c r="W18" s="42">
        <f t="shared" si="2"/>
        <v>-6.716039552968553</v>
      </c>
    </row>
    <row r="19" spans="1:23">
      <c r="A19" s="23" t="s">
        <v>60</v>
      </c>
      <c r="B19" s="24">
        <v>6445</v>
      </c>
      <c r="C19" s="24">
        <v>6653</v>
      </c>
      <c r="D19" s="24">
        <f>VLOOKUP(A19,'[3]2017'!$B:$I,8,FALSE)</f>
        <v>7920</v>
      </c>
      <c r="E19" s="25">
        <f t="shared" si="3"/>
        <v>7006</v>
      </c>
      <c r="F19" s="26">
        <v>145</v>
      </c>
      <c r="G19" s="24">
        <v>96</v>
      </c>
      <c r="H19" s="24">
        <f>VLOOKUP(A19,'[3]2017'!$B:$D,3,FALSE)</f>
        <v>120</v>
      </c>
      <c r="I19" s="27">
        <f t="shared" si="4"/>
        <v>120.33333333333333</v>
      </c>
      <c r="J19" s="28" t="s">
        <v>61</v>
      </c>
      <c r="K19" s="29">
        <v>300000</v>
      </c>
      <c r="L19" s="29">
        <v>282574</v>
      </c>
      <c r="M19" s="29">
        <v>324950</v>
      </c>
      <c r="N19" s="29">
        <f t="shared" si="0"/>
        <v>302508</v>
      </c>
      <c r="O19" s="24">
        <v>317</v>
      </c>
      <c r="P19" s="24">
        <v>226</v>
      </c>
      <c r="Q19" s="24">
        <v>246</v>
      </c>
      <c r="R19" s="27">
        <f t="shared" si="1"/>
        <v>263</v>
      </c>
      <c r="S19" s="30">
        <v>43.242008062248054</v>
      </c>
      <c r="U19" s="43">
        <v>71.054285372276752</v>
      </c>
      <c r="V19" s="22">
        <f>IFERROR(VLOOKUP(A19,'Count of Providers as of Jan 18'!A:B,2,FALSE),0)</f>
        <v>26</v>
      </c>
      <c r="W19" s="42">
        <f t="shared" si="2"/>
        <v>-27.812277310028698</v>
      </c>
    </row>
    <row r="20" spans="1:23">
      <c r="A20" s="23" t="s">
        <v>61</v>
      </c>
      <c r="B20" s="24">
        <v>4756</v>
      </c>
      <c r="C20" s="24">
        <v>6894</v>
      </c>
      <c r="D20" s="24">
        <f>VLOOKUP(A20,'[3]2017'!$B:$I,8,FALSE)</f>
        <v>5433</v>
      </c>
      <c r="E20" s="25">
        <f t="shared" si="3"/>
        <v>5694.333333333333</v>
      </c>
      <c r="F20" s="26">
        <v>26</v>
      </c>
      <c r="G20" s="24">
        <v>19</v>
      </c>
      <c r="H20" s="24">
        <f>VLOOKUP(A20,'[3]2017'!$B:$D,3,FALSE)</f>
        <v>13</v>
      </c>
      <c r="I20" s="27">
        <f t="shared" si="4"/>
        <v>19.333333333333332</v>
      </c>
      <c r="J20" s="28" t="s">
        <v>62</v>
      </c>
      <c r="K20" s="29">
        <v>284385</v>
      </c>
      <c r="L20" s="29">
        <v>324456</v>
      </c>
      <c r="M20" s="29">
        <v>327159</v>
      </c>
      <c r="N20" s="29">
        <f t="shared" si="0"/>
        <v>312000</v>
      </c>
      <c r="O20" s="24">
        <v>70</v>
      </c>
      <c r="P20" s="24">
        <v>52</v>
      </c>
      <c r="Q20" s="24">
        <v>60</v>
      </c>
      <c r="R20" s="27">
        <f t="shared" si="1"/>
        <v>60.666666666666664</v>
      </c>
      <c r="S20" s="30">
        <v>68.29835651074589</v>
      </c>
      <c r="T20" s="24" t="s">
        <v>268</v>
      </c>
      <c r="U20" s="43">
        <v>105.09753872282609</v>
      </c>
      <c r="V20" s="22">
        <f>IFERROR(VLOOKUP(A20,'Count of Providers as of Jan 18'!A:B,2,FALSE),0)</f>
        <v>5</v>
      </c>
      <c r="W20" s="42">
        <f t="shared" si="2"/>
        <v>-36.799182212080197</v>
      </c>
    </row>
    <row r="21" spans="1:23">
      <c r="A21" s="23" t="s">
        <v>62</v>
      </c>
      <c r="B21" s="24" t="s">
        <v>52</v>
      </c>
      <c r="C21" s="24" t="s">
        <v>63</v>
      </c>
      <c r="D21" s="24">
        <f>VLOOKUP(A21,'[3]2017'!$B:$I,8,FALSE)</f>
        <v>0</v>
      </c>
      <c r="E21" s="25">
        <f t="shared" si="3"/>
        <v>0</v>
      </c>
      <c r="F21" s="26">
        <v>4</v>
      </c>
      <c r="G21" s="24" t="s">
        <v>52</v>
      </c>
      <c r="H21" s="24">
        <f>VLOOKUP(A21,'[3]2017'!$B:$D,3,FALSE)</f>
        <v>3</v>
      </c>
      <c r="I21" s="27">
        <f t="shared" si="4"/>
        <v>3.5</v>
      </c>
      <c r="J21" s="28" t="s">
        <v>64</v>
      </c>
      <c r="K21" s="29">
        <v>184313</v>
      </c>
      <c r="L21" s="29" t="s">
        <v>52</v>
      </c>
      <c r="M21" s="29">
        <v>170464</v>
      </c>
      <c r="N21" s="29">
        <f t="shared" si="0"/>
        <v>177388.5</v>
      </c>
      <c r="O21" s="24">
        <v>21</v>
      </c>
      <c r="P21" s="24">
        <v>8</v>
      </c>
      <c r="Q21" s="24">
        <v>16</v>
      </c>
      <c r="R21" s="27">
        <f t="shared" si="1"/>
        <v>15</v>
      </c>
      <c r="S21" s="30">
        <v>0</v>
      </c>
      <c r="U21" s="43">
        <v>46.143169133705413</v>
      </c>
      <c r="V21" s="22">
        <f>IFERROR(VLOOKUP(A21,'Count of Providers as of Jan 18'!A:B,2,FALSE),0)</f>
        <v>0</v>
      </c>
      <c r="W21" s="42">
        <f t="shared" si="2"/>
        <v>-46.143169133705413</v>
      </c>
    </row>
    <row r="22" spans="1:23">
      <c r="A22" s="23" t="s">
        <v>64</v>
      </c>
      <c r="B22" s="24">
        <v>3707</v>
      </c>
      <c r="C22" s="24">
        <v>4239</v>
      </c>
      <c r="D22" s="24">
        <f>VLOOKUP(A22,'[3]2017'!$B:$I,8,FALSE)</f>
        <v>4584</v>
      </c>
      <c r="E22" s="25">
        <f t="shared" si="3"/>
        <v>4176.666666666667</v>
      </c>
      <c r="F22" s="26">
        <v>39</v>
      </c>
      <c r="G22" s="24">
        <v>46</v>
      </c>
      <c r="H22" s="24">
        <f>VLOOKUP(A22,'[3]2017'!$B:$D,3,FALSE)</f>
        <v>35</v>
      </c>
      <c r="I22" s="27">
        <f t="shared" si="4"/>
        <v>40</v>
      </c>
      <c r="J22" s="28" t="s">
        <v>65</v>
      </c>
      <c r="K22" s="29">
        <v>184400</v>
      </c>
      <c r="L22" s="29">
        <v>173814</v>
      </c>
      <c r="M22" s="29">
        <v>181932</v>
      </c>
      <c r="N22" s="29">
        <f t="shared" si="0"/>
        <v>180048.66666666666</v>
      </c>
      <c r="O22" s="24">
        <v>131</v>
      </c>
      <c r="P22" s="24">
        <v>86</v>
      </c>
      <c r="Q22" s="24">
        <v>80</v>
      </c>
      <c r="R22" s="27">
        <f t="shared" si="1"/>
        <v>99</v>
      </c>
      <c r="S22" s="30">
        <v>42.332515901601653</v>
      </c>
      <c r="U22" s="43">
        <v>58.929033100476595</v>
      </c>
      <c r="V22" s="22">
        <f>IFERROR(VLOOKUP(A22,'Count of Providers as of Jan 18'!A:B,2,FALSE),0)</f>
        <v>11</v>
      </c>
      <c r="W22" s="42">
        <f t="shared" si="2"/>
        <v>-16.596517198874942</v>
      </c>
    </row>
    <row r="23" spans="1:23">
      <c r="A23" s="23" t="s">
        <v>65</v>
      </c>
      <c r="B23" s="24">
        <v>5292</v>
      </c>
      <c r="C23" s="24">
        <v>4889</v>
      </c>
      <c r="D23" s="24">
        <f>VLOOKUP(A23,'[3]2017'!$B:$I,8,FALSE)</f>
        <v>5771</v>
      </c>
      <c r="E23" s="25">
        <f t="shared" si="3"/>
        <v>5317.333333333333</v>
      </c>
      <c r="F23" s="26">
        <v>145</v>
      </c>
      <c r="G23" s="24">
        <v>132</v>
      </c>
      <c r="H23" s="24">
        <f>VLOOKUP(A23,'[3]2017'!$B:$D,3,FALSE)</f>
        <v>140</v>
      </c>
      <c r="I23" s="27">
        <f t="shared" si="4"/>
        <v>139</v>
      </c>
      <c r="J23" s="28" t="s">
        <v>66</v>
      </c>
      <c r="K23" s="29">
        <v>258845</v>
      </c>
      <c r="L23" s="29">
        <v>267326</v>
      </c>
      <c r="M23" s="29">
        <v>290111</v>
      </c>
      <c r="N23" s="29">
        <f t="shared" si="0"/>
        <v>272094</v>
      </c>
      <c r="O23" s="24">
        <v>390</v>
      </c>
      <c r="P23" s="24">
        <v>276</v>
      </c>
      <c r="Q23" s="24">
        <v>360</v>
      </c>
      <c r="R23" s="27">
        <f t="shared" si="1"/>
        <v>342</v>
      </c>
      <c r="S23" s="30">
        <v>55.874173027989826</v>
      </c>
      <c r="U23" s="43">
        <v>52.671633438265133</v>
      </c>
      <c r="V23" s="22">
        <f>IFERROR(VLOOKUP(A23,'Count of Providers as of Jan 18'!A:B,2,FALSE),0)</f>
        <v>52</v>
      </c>
      <c r="W23" s="42">
        <f t="shared" si="2"/>
        <v>3.2025395897246938</v>
      </c>
    </row>
    <row r="24" spans="1:23">
      <c r="A24" s="23" t="s">
        <v>66</v>
      </c>
      <c r="B24" s="24">
        <v>5028</v>
      </c>
      <c r="C24" s="24">
        <v>4515</v>
      </c>
      <c r="D24" s="24">
        <f>VLOOKUP(A24,'[3]2017'!$B:$I,8,FALSE)</f>
        <v>5188</v>
      </c>
      <c r="E24" s="25">
        <f t="shared" si="3"/>
        <v>4910.333333333333</v>
      </c>
      <c r="F24" s="26">
        <v>68</v>
      </c>
      <c r="G24" s="24">
        <v>27</v>
      </c>
      <c r="H24" s="24">
        <f>VLOOKUP(A24,'[3]2017'!$B:$D,3,FALSE)</f>
        <v>37</v>
      </c>
      <c r="I24" s="27">
        <f t="shared" si="4"/>
        <v>44</v>
      </c>
      <c r="J24" s="28" t="s">
        <v>67</v>
      </c>
      <c r="K24" s="29">
        <v>261539</v>
      </c>
      <c r="L24" s="29">
        <v>236790</v>
      </c>
      <c r="M24" s="29">
        <v>239368</v>
      </c>
      <c r="N24" s="29">
        <f t="shared" si="0"/>
        <v>245899</v>
      </c>
      <c r="O24" s="24">
        <v>184</v>
      </c>
      <c r="P24" s="24">
        <v>142</v>
      </c>
      <c r="Q24" s="24">
        <v>131</v>
      </c>
      <c r="R24" s="27">
        <f t="shared" si="1"/>
        <v>152.33333333333334</v>
      </c>
      <c r="S24" s="30">
        <v>50.275615458671439</v>
      </c>
      <c r="T24" s="77" t="s">
        <v>268</v>
      </c>
      <c r="U24" s="43">
        <v>86.727322828282837</v>
      </c>
      <c r="V24" s="22">
        <f>IFERROR(VLOOKUP(A24,'Count of Providers as of Jan 18'!A:B,2,FALSE),0)</f>
        <v>0</v>
      </c>
      <c r="W24" s="42">
        <f t="shared" si="2"/>
        <v>-36.451707369611398</v>
      </c>
    </row>
    <row r="25" spans="1:23">
      <c r="A25" s="23" t="s">
        <v>67</v>
      </c>
      <c r="B25" s="24" t="s">
        <v>52</v>
      </c>
      <c r="C25" s="24">
        <v>2551</v>
      </c>
      <c r="D25" s="24">
        <f>VLOOKUP(A25,'[3]2017'!$B:$I,8,FALSE)</f>
        <v>0</v>
      </c>
      <c r="E25" s="25">
        <f t="shared" si="3"/>
        <v>1275.5</v>
      </c>
      <c r="F25" s="26">
        <v>9</v>
      </c>
      <c r="G25" s="24">
        <v>15</v>
      </c>
      <c r="H25" s="24">
        <f>VLOOKUP(A25,'[3]2017'!$B:$D,3,FALSE)</f>
        <v>7</v>
      </c>
      <c r="I25" s="27">
        <f t="shared" si="4"/>
        <v>10.333333333333334</v>
      </c>
      <c r="J25" s="28" t="s">
        <v>280</v>
      </c>
      <c r="K25" s="29" t="s">
        <v>52</v>
      </c>
      <c r="L25" s="29">
        <v>161150</v>
      </c>
      <c r="M25" s="29">
        <v>197418</v>
      </c>
      <c r="N25" s="29">
        <f t="shared" si="0"/>
        <v>179284</v>
      </c>
      <c r="O25" s="24">
        <v>11</v>
      </c>
      <c r="P25" s="24">
        <v>20</v>
      </c>
      <c r="Q25" s="24">
        <v>24</v>
      </c>
      <c r="R25" s="27">
        <f t="shared" si="1"/>
        <v>18.333333333333332</v>
      </c>
      <c r="S25" s="30">
        <v>0</v>
      </c>
      <c r="T25" s="77"/>
      <c r="U25" s="43">
        <v>71.271864808775575</v>
      </c>
      <c r="V25" s="22">
        <f>IFERROR(VLOOKUP(A25,'Count of Providers as of Jan 18'!A:B,2,FALSE),0)</f>
        <v>0</v>
      </c>
      <c r="W25" s="42">
        <f t="shared" si="2"/>
        <v>-71.271864808775575</v>
      </c>
    </row>
    <row r="26" spans="1:23">
      <c r="A26" s="23" t="s">
        <v>68</v>
      </c>
      <c r="B26" s="24">
        <v>3591</v>
      </c>
      <c r="C26" s="24">
        <v>4406</v>
      </c>
      <c r="D26" s="24">
        <f>VLOOKUP(A26,'[3]2017'!$B:$I,8,FALSE)</f>
        <v>3755</v>
      </c>
      <c r="E26" s="25">
        <f t="shared" si="3"/>
        <v>3917.3333333333335</v>
      </c>
      <c r="F26" s="26">
        <v>188</v>
      </c>
      <c r="G26" s="24">
        <v>157</v>
      </c>
      <c r="H26" s="24">
        <f>VLOOKUP(A26,'[3]2017'!$B:$D,3,FALSE)</f>
        <v>178</v>
      </c>
      <c r="I26" s="27">
        <f t="shared" si="4"/>
        <v>174.33333333333334</v>
      </c>
      <c r="J26" s="28" t="s">
        <v>68</v>
      </c>
      <c r="K26" s="29">
        <v>200000</v>
      </c>
      <c r="L26" s="29">
        <v>209286</v>
      </c>
      <c r="M26" s="29">
        <v>214417</v>
      </c>
      <c r="N26" s="29">
        <f t="shared" si="0"/>
        <v>207901</v>
      </c>
      <c r="O26" s="24">
        <v>399</v>
      </c>
      <c r="P26" s="24">
        <v>315</v>
      </c>
      <c r="Q26" s="24">
        <v>369</v>
      </c>
      <c r="R26" s="27">
        <f t="shared" si="1"/>
        <v>361</v>
      </c>
      <c r="S26" s="30">
        <v>55.608145106091719</v>
      </c>
      <c r="U26" s="43">
        <v>61.766183396435501</v>
      </c>
      <c r="V26" s="22">
        <f>IFERROR(VLOOKUP(A26,'Count of Providers as of Jan 18'!A:B,2,FALSE),0)</f>
        <v>37</v>
      </c>
      <c r="W26" s="42">
        <f t="shared" si="2"/>
        <v>-6.1580382903437823</v>
      </c>
    </row>
    <row r="27" spans="1:23">
      <c r="A27" s="23" t="s">
        <v>69</v>
      </c>
      <c r="B27" s="24">
        <v>3822</v>
      </c>
      <c r="C27" s="24">
        <v>4567</v>
      </c>
      <c r="D27" s="24">
        <f>VLOOKUP(A27,'[3]2017'!$B:$I,8,FALSE)</f>
        <v>3777</v>
      </c>
      <c r="E27" s="25">
        <f t="shared" si="3"/>
        <v>4055.3333333333335</v>
      </c>
      <c r="F27" s="26">
        <v>73</v>
      </c>
      <c r="G27" s="24">
        <v>60</v>
      </c>
      <c r="H27" s="24">
        <f>VLOOKUP(A27,'[3]2017'!$B:$D,3,FALSE)</f>
        <v>79</v>
      </c>
      <c r="I27" s="27">
        <f t="shared" si="4"/>
        <v>70.666666666666671</v>
      </c>
      <c r="J27" s="28" t="s">
        <v>292</v>
      </c>
      <c r="K27" s="29"/>
      <c r="L27" s="29"/>
      <c r="M27" s="29"/>
      <c r="N27" s="29"/>
      <c r="O27" s="24"/>
      <c r="P27" s="24"/>
      <c r="Q27" s="24"/>
      <c r="R27" s="27"/>
      <c r="S27" s="30"/>
      <c r="T27" s="77" t="s">
        <v>268</v>
      </c>
      <c r="U27" s="43">
        <v>88.896599128899368</v>
      </c>
      <c r="W27" s="42"/>
    </row>
    <row r="28" spans="1:23">
      <c r="A28" s="23" t="s">
        <v>70</v>
      </c>
      <c r="B28" s="24" t="s">
        <v>52</v>
      </c>
      <c r="C28" s="24" t="s">
        <v>52</v>
      </c>
      <c r="D28" s="24">
        <f>VLOOKUP(A28,'[3]2017'!$B:$I,8,FALSE)</f>
        <v>4621</v>
      </c>
      <c r="E28" s="25">
        <f t="shared" si="3"/>
        <v>4621</v>
      </c>
      <c r="F28" s="24" t="s">
        <v>52</v>
      </c>
      <c r="G28" s="24">
        <v>1</v>
      </c>
      <c r="H28" s="24">
        <f>VLOOKUP(A28,'[3]2017'!$B:$D,3,FALSE)</f>
        <v>26</v>
      </c>
      <c r="I28" s="27">
        <f t="shared" si="4"/>
        <v>13.5</v>
      </c>
      <c r="J28" s="28" t="s">
        <v>69</v>
      </c>
      <c r="K28" s="29"/>
      <c r="L28" s="29"/>
      <c r="M28" s="29"/>
      <c r="N28" s="29"/>
      <c r="O28" s="24"/>
      <c r="P28" s="24"/>
      <c r="Q28" s="24"/>
      <c r="R28" s="27"/>
      <c r="S28" s="30"/>
      <c r="T28" s="77"/>
      <c r="U28" s="43">
        <v>52.612781954887218</v>
      </c>
      <c r="W28" s="42"/>
    </row>
    <row r="29" spans="1:23">
      <c r="A29" s="23" t="s">
        <v>71</v>
      </c>
      <c r="B29" s="24">
        <v>3822</v>
      </c>
      <c r="C29" s="24">
        <v>3959</v>
      </c>
      <c r="D29" s="24">
        <f>VLOOKUP(A29,'[3]2017'!$B:$I,8,FALSE)</f>
        <v>4149</v>
      </c>
      <c r="E29" s="25">
        <f t="shared" si="3"/>
        <v>3976.6666666666665</v>
      </c>
      <c r="F29" s="26">
        <v>440</v>
      </c>
      <c r="G29" s="24">
        <v>228</v>
      </c>
      <c r="H29" s="24">
        <f>VLOOKUP(A29,'[3]2017'!$B:$D,3,FALSE)</f>
        <v>264</v>
      </c>
      <c r="I29" s="27">
        <f t="shared" si="4"/>
        <v>310.66666666666669</v>
      </c>
      <c r="J29" s="28" t="s">
        <v>70</v>
      </c>
      <c r="K29" s="29">
        <v>180338</v>
      </c>
      <c r="L29" s="29">
        <v>183420</v>
      </c>
      <c r="M29" s="29">
        <v>175267</v>
      </c>
      <c r="N29" s="29">
        <f t="shared" si="0"/>
        <v>179675</v>
      </c>
      <c r="O29" s="24">
        <v>281</v>
      </c>
      <c r="P29" s="24">
        <v>207</v>
      </c>
      <c r="Q29" s="24">
        <v>277</v>
      </c>
      <c r="R29" s="27">
        <f t="shared" si="1"/>
        <v>255</v>
      </c>
      <c r="S29" s="30">
        <v>47.664369400413506</v>
      </c>
      <c r="U29" s="43">
        <v>46.74619848674061</v>
      </c>
      <c r="V29" s="22">
        <f>IFERROR(VLOOKUP(A27,'Count of Providers as of Jan 18'!A:B,2,FALSE),0)</f>
        <v>32</v>
      </c>
      <c r="W29" s="42">
        <f t="shared" si="2"/>
        <v>0.91817091367289549</v>
      </c>
    </row>
    <row r="30" spans="1:23">
      <c r="A30" s="23" t="s">
        <v>72</v>
      </c>
      <c r="B30" s="24">
        <v>6414</v>
      </c>
      <c r="C30" s="24">
        <v>6473</v>
      </c>
      <c r="D30" s="24">
        <f>VLOOKUP(A30,'[3]2017'!$B:$I,8,FALSE)</f>
        <v>7082</v>
      </c>
      <c r="E30" s="25">
        <f t="shared" si="3"/>
        <v>6656.333333333333</v>
      </c>
      <c r="F30" s="26">
        <v>90</v>
      </c>
      <c r="G30" s="24">
        <v>67</v>
      </c>
      <c r="H30" s="24">
        <f>VLOOKUP(A30,'[3]2017'!$B:$D,3,FALSE)</f>
        <v>90</v>
      </c>
      <c r="I30" s="27">
        <f t="shared" si="4"/>
        <v>82.333333333333329</v>
      </c>
      <c r="J30" s="28" t="s">
        <v>71</v>
      </c>
      <c r="K30" s="29" t="s">
        <v>52</v>
      </c>
      <c r="L30" s="29" t="s">
        <v>52</v>
      </c>
      <c r="M30" s="29">
        <v>204800</v>
      </c>
      <c r="N30" s="29">
        <f t="shared" si="0"/>
        <v>204800</v>
      </c>
      <c r="O30" s="24">
        <v>11</v>
      </c>
      <c r="P30" s="24">
        <v>5</v>
      </c>
      <c r="Q30" s="24">
        <v>33</v>
      </c>
      <c r="R30" s="27">
        <f t="shared" si="1"/>
        <v>16.333333333333332</v>
      </c>
      <c r="S30" s="30">
        <v>45.272547652254765</v>
      </c>
      <c r="U30" s="43">
        <v>52.351845854922281</v>
      </c>
      <c r="V30" s="22">
        <f>IFERROR(VLOOKUP(A28,'Count of Providers as of Jan 18'!A:B,2,FALSE),0)</f>
        <v>0</v>
      </c>
      <c r="W30" s="42">
        <f t="shared" si="2"/>
        <v>-7.0792982026675162</v>
      </c>
    </row>
    <row r="31" spans="1:23">
      <c r="A31" s="23" t="s">
        <v>73</v>
      </c>
      <c r="B31" s="24">
        <v>4416</v>
      </c>
      <c r="C31" s="24">
        <v>4338</v>
      </c>
      <c r="D31" s="24">
        <f>VLOOKUP(A31,'[3]2017'!$B:$I,8,FALSE)</f>
        <v>4079</v>
      </c>
      <c r="E31" s="25">
        <f t="shared" si="3"/>
        <v>4277.666666666667</v>
      </c>
      <c r="F31" s="26">
        <v>172</v>
      </c>
      <c r="G31" s="24">
        <v>146</v>
      </c>
      <c r="H31" s="24">
        <f>VLOOKUP(A31,'[3]2017'!$B:$D,3,FALSE)</f>
        <v>216</v>
      </c>
      <c r="I31" s="27">
        <f t="shared" si="4"/>
        <v>178</v>
      </c>
      <c r="J31" s="28" t="s">
        <v>72</v>
      </c>
      <c r="K31" s="29">
        <v>193530</v>
      </c>
      <c r="L31" s="29">
        <v>191372</v>
      </c>
      <c r="M31" s="29">
        <v>202024</v>
      </c>
      <c r="N31" s="29">
        <f t="shared" si="0"/>
        <v>195642</v>
      </c>
      <c r="O31" s="24">
        <v>1061</v>
      </c>
      <c r="P31" s="24">
        <v>511</v>
      </c>
      <c r="Q31" s="24">
        <v>584</v>
      </c>
      <c r="R31" s="27">
        <f t="shared" si="1"/>
        <v>718.66666666666663</v>
      </c>
      <c r="S31" s="30">
        <v>50.842888688967037</v>
      </c>
      <c r="U31" s="43">
        <v>35.664656890296868</v>
      </c>
      <c r="V31" s="22">
        <f>IFERROR(VLOOKUP(A29,'Count of Providers as of Jan 18'!A:B,2,FALSE),0)</f>
        <v>28</v>
      </c>
      <c r="W31" s="42">
        <f t="shared" si="2"/>
        <v>15.178231798670168</v>
      </c>
    </row>
    <row r="32" spans="1:23">
      <c r="A32" s="23" t="s">
        <v>74</v>
      </c>
      <c r="B32" s="24">
        <v>6150</v>
      </c>
      <c r="C32" s="24">
        <v>7281</v>
      </c>
      <c r="D32" s="24">
        <f>VLOOKUP(A32,'[3]2017'!$B:$I,8,FALSE)</f>
        <v>6532</v>
      </c>
      <c r="E32" s="25">
        <f t="shared" si="3"/>
        <v>6654.333333333333</v>
      </c>
      <c r="F32" s="26">
        <v>25</v>
      </c>
      <c r="G32" s="24">
        <v>16</v>
      </c>
      <c r="H32" s="24">
        <f>VLOOKUP(A32,'[3]2017'!$B:$D,3,FALSE)</f>
        <v>25</v>
      </c>
      <c r="I32" s="27">
        <f t="shared" si="4"/>
        <v>22</v>
      </c>
      <c r="J32" s="28" t="s">
        <v>251</v>
      </c>
      <c r="K32" s="29"/>
      <c r="L32" s="29"/>
      <c r="M32" s="29"/>
      <c r="N32" s="29"/>
      <c r="O32" s="24"/>
      <c r="P32" s="24"/>
      <c r="Q32" s="24"/>
      <c r="R32" s="27"/>
      <c r="S32" s="30"/>
      <c r="T32" s="77" t="s">
        <v>268</v>
      </c>
      <c r="U32" s="43">
        <v>46.84</v>
      </c>
      <c r="W32" s="42"/>
    </row>
    <row r="33" spans="1:23">
      <c r="A33" s="23" t="s">
        <v>75</v>
      </c>
      <c r="B33" s="24">
        <v>3527</v>
      </c>
      <c r="C33" s="24">
        <v>4097</v>
      </c>
      <c r="D33" s="24">
        <f>VLOOKUP(A33,'[3]2017'!$B:$I,8,FALSE)</f>
        <v>4053</v>
      </c>
      <c r="E33" s="25">
        <f t="shared" si="3"/>
        <v>3892.3333333333335</v>
      </c>
      <c r="F33" s="26">
        <v>25</v>
      </c>
      <c r="G33" s="24">
        <v>20</v>
      </c>
      <c r="H33" s="24">
        <f>VLOOKUP(A33,'[3]2017'!$B:$D,3,FALSE)</f>
        <v>33</v>
      </c>
      <c r="I33" s="27">
        <f t="shared" si="4"/>
        <v>26</v>
      </c>
      <c r="J33" s="28" t="s">
        <v>73</v>
      </c>
      <c r="K33" s="29">
        <v>210588</v>
      </c>
      <c r="L33" s="29">
        <v>220846</v>
      </c>
      <c r="M33" s="29">
        <v>220489</v>
      </c>
      <c r="N33" s="29">
        <f t="shared" si="0"/>
        <v>217307.66666666666</v>
      </c>
      <c r="O33" s="24">
        <v>252</v>
      </c>
      <c r="P33" s="24">
        <v>190</v>
      </c>
      <c r="Q33" s="24">
        <v>226</v>
      </c>
      <c r="R33" s="27">
        <f t="shared" si="1"/>
        <v>222.66666666666666</v>
      </c>
      <c r="S33" s="30">
        <v>34.734616358571785</v>
      </c>
      <c r="U33" s="43">
        <v>55.042945283325217</v>
      </c>
      <c r="V33" s="22">
        <f>IFERROR(VLOOKUP(A30,'Count of Providers as of Jan 18'!A:B,2,FALSE),0)</f>
        <v>26</v>
      </c>
      <c r="W33" s="42">
        <f t="shared" si="2"/>
        <v>-20.308328924753432</v>
      </c>
    </row>
    <row r="34" spans="1:23">
      <c r="A34" s="23" t="s">
        <v>76</v>
      </c>
      <c r="B34" s="24" t="s">
        <v>52</v>
      </c>
      <c r="C34" s="24" t="s">
        <v>52</v>
      </c>
      <c r="D34" s="24">
        <f>VLOOKUP(A34,'[3]2017'!$B:$I,8,FALSE)</f>
        <v>3533</v>
      </c>
      <c r="E34" s="25">
        <f t="shared" si="3"/>
        <v>3533</v>
      </c>
      <c r="F34" s="26">
        <v>9</v>
      </c>
      <c r="G34" s="24">
        <v>7</v>
      </c>
      <c r="H34" s="24">
        <f>VLOOKUP(A34,'[3]2017'!$B:$D,3,FALSE)</f>
        <v>18</v>
      </c>
      <c r="I34" s="27">
        <f t="shared" si="4"/>
        <v>11.333333333333334</v>
      </c>
      <c r="J34" s="28" t="s">
        <v>74</v>
      </c>
      <c r="K34" s="29"/>
      <c r="L34" s="29"/>
      <c r="M34" s="29"/>
      <c r="N34" s="29"/>
      <c r="O34" s="24"/>
      <c r="P34" s="24"/>
      <c r="Q34" s="24"/>
      <c r="R34" s="27"/>
      <c r="S34" s="30"/>
      <c r="T34" s="77"/>
      <c r="U34" s="43">
        <v>32.704175578908213</v>
      </c>
      <c r="W34" s="42"/>
    </row>
    <row r="35" spans="1:23">
      <c r="A35" s="23" t="s">
        <v>77</v>
      </c>
      <c r="B35" s="24">
        <v>6493</v>
      </c>
      <c r="C35" s="24">
        <v>6853</v>
      </c>
      <c r="D35" s="24">
        <f>VLOOKUP(A35,'[3]2017'!$B:$I,8,FALSE)</f>
        <v>6420</v>
      </c>
      <c r="E35" s="25">
        <f t="shared" si="3"/>
        <v>6588.666666666667</v>
      </c>
      <c r="F35" s="26">
        <v>38</v>
      </c>
      <c r="G35" s="24">
        <v>13</v>
      </c>
      <c r="H35" s="24">
        <f>VLOOKUP(A35,'[3]2017'!$B:$D,3,FALSE)</f>
        <v>24</v>
      </c>
      <c r="I35" s="27">
        <f t="shared" si="4"/>
        <v>25</v>
      </c>
      <c r="J35" s="28" t="s">
        <v>75</v>
      </c>
      <c r="K35" s="29">
        <v>197900</v>
      </c>
      <c r="L35" s="29">
        <v>193700</v>
      </c>
      <c r="M35" s="29">
        <v>205198</v>
      </c>
      <c r="N35" s="29">
        <f t="shared" si="0"/>
        <v>198932.66666666666</v>
      </c>
      <c r="O35" s="24">
        <v>418</v>
      </c>
      <c r="P35" s="24">
        <v>317</v>
      </c>
      <c r="Q35" s="24">
        <v>437</v>
      </c>
      <c r="R35" s="27">
        <f t="shared" si="1"/>
        <v>390.66666666666669</v>
      </c>
      <c r="S35" s="30">
        <v>51.180327868852459</v>
      </c>
      <c r="U35" s="43">
        <v>53.734553592838303</v>
      </c>
      <c r="V35" s="22">
        <f>IFERROR(VLOOKUP(A31,'Count of Providers as of Jan 18'!A:B,2,FALSE),0)</f>
        <v>13</v>
      </c>
      <c r="W35" s="42">
        <f t="shared" si="2"/>
        <v>-2.5542257239858444</v>
      </c>
    </row>
    <row r="36" spans="1:23">
      <c r="A36" s="23" t="s">
        <v>78</v>
      </c>
      <c r="B36" s="24">
        <v>4093</v>
      </c>
      <c r="C36" s="24">
        <v>4733</v>
      </c>
      <c r="D36" s="24">
        <f>VLOOKUP(A36,'[3]2017'!$B:$I,8,FALSE)</f>
        <v>4873</v>
      </c>
      <c r="E36" s="25">
        <f t="shared" si="3"/>
        <v>4566.333333333333</v>
      </c>
      <c r="F36" s="26">
        <v>16</v>
      </c>
      <c r="G36" s="24">
        <v>32</v>
      </c>
      <c r="H36" s="24">
        <f>VLOOKUP(A36,'[3]2017'!$B:$D,3,FALSE)</f>
        <v>18</v>
      </c>
      <c r="I36" s="27">
        <f t="shared" si="4"/>
        <v>22</v>
      </c>
      <c r="J36" s="28" t="s">
        <v>76</v>
      </c>
      <c r="K36" s="29">
        <v>210989</v>
      </c>
      <c r="L36" s="29">
        <v>216320</v>
      </c>
      <c r="M36" s="29">
        <v>226543</v>
      </c>
      <c r="N36" s="29">
        <f t="shared" si="0"/>
        <v>217950.66666666666</v>
      </c>
      <c r="O36" s="24">
        <v>53</v>
      </c>
      <c r="P36" s="24">
        <v>37</v>
      </c>
      <c r="Q36" s="24">
        <v>58</v>
      </c>
      <c r="R36" s="27">
        <f t="shared" si="1"/>
        <v>49.333333333333336</v>
      </c>
      <c r="S36" s="30">
        <v>31.299206131946345</v>
      </c>
      <c r="U36" s="43">
        <v>63.678999721111836</v>
      </c>
      <c r="V36" s="22">
        <f>IFERROR(VLOOKUP(A32,'Count of Providers as of Jan 18'!A:B,2,FALSE),0)</f>
        <v>2</v>
      </c>
      <c r="W36" s="42">
        <f t="shared" si="2"/>
        <v>-32.379793589165487</v>
      </c>
    </row>
    <row r="37" spans="1:23">
      <c r="A37" s="23" t="s">
        <v>79</v>
      </c>
      <c r="B37" s="24">
        <v>7666</v>
      </c>
      <c r="C37" s="24">
        <v>9701</v>
      </c>
      <c r="D37" s="24">
        <f>VLOOKUP(A37,'[3]2017'!$B:$I,8,FALSE)</f>
        <v>8834</v>
      </c>
      <c r="E37" s="25">
        <f t="shared" si="3"/>
        <v>8733.6666666666661</v>
      </c>
      <c r="F37" s="26">
        <v>66</v>
      </c>
      <c r="G37" s="24">
        <v>38</v>
      </c>
      <c r="H37" s="24">
        <f>VLOOKUP(A37,'[3]2017'!$B:$D,3,FALSE)</f>
        <v>49</v>
      </c>
      <c r="I37" s="27">
        <f t="shared" si="4"/>
        <v>51</v>
      </c>
      <c r="J37" s="28" t="s">
        <v>77</v>
      </c>
      <c r="K37" s="29">
        <v>196661</v>
      </c>
      <c r="L37" s="29">
        <v>184032</v>
      </c>
      <c r="M37" s="29">
        <v>208556</v>
      </c>
      <c r="N37" s="29">
        <f t="shared" si="0"/>
        <v>196416.33333333334</v>
      </c>
      <c r="O37" s="24">
        <v>49</v>
      </c>
      <c r="P37" s="24">
        <v>41</v>
      </c>
      <c r="Q37" s="24">
        <v>57</v>
      </c>
      <c r="R37" s="27">
        <f t="shared" si="1"/>
        <v>49</v>
      </c>
      <c r="S37" s="30">
        <v>52.15956738768719</v>
      </c>
      <c r="U37" s="43">
        <v>60.008860435339315</v>
      </c>
      <c r="V37" s="22">
        <f>IFERROR(VLOOKUP(A33,'Count of Providers as of Jan 18'!A:B,2,FALSE),0)</f>
        <v>2</v>
      </c>
      <c r="W37" s="42">
        <f t="shared" si="2"/>
        <v>-7.8492930476521252</v>
      </c>
    </row>
    <row r="38" spans="1:23">
      <c r="A38" s="23" t="s">
        <v>80</v>
      </c>
      <c r="B38" s="24">
        <v>5944</v>
      </c>
      <c r="C38" s="24">
        <v>3490</v>
      </c>
      <c r="D38" s="24">
        <f>VLOOKUP(A38,'[3]2017'!$B:$I,8,FALSE)</f>
        <v>4553</v>
      </c>
      <c r="E38" s="25">
        <f t="shared" si="3"/>
        <v>4662.333333333333</v>
      </c>
      <c r="F38" s="26">
        <v>17</v>
      </c>
      <c r="G38" s="24">
        <v>12</v>
      </c>
      <c r="H38" s="24">
        <f>VLOOKUP(A38,'[3]2017'!$B:$D,3,FALSE)</f>
        <v>13</v>
      </c>
      <c r="I38" s="27">
        <f t="shared" si="4"/>
        <v>14</v>
      </c>
      <c r="J38" s="28" t="s">
        <v>78</v>
      </c>
      <c r="K38" s="29">
        <v>182000</v>
      </c>
      <c r="L38" s="29">
        <v>207808</v>
      </c>
      <c r="M38" s="29">
        <v>206472</v>
      </c>
      <c r="N38" s="29">
        <f t="shared" si="0"/>
        <v>198760</v>
      </c>
      <c r="O38" s="24">
        <v>32</v>
      </c>
      <c r="P38" s="24">
        <v>33</v>
      </c>
      <c r="Q38" s="24">
        <v>51</v>
      </c>
      <c r="R38" s="27">
        <f t="shared" si="1"/>
        <v>38.666666666666664</v>
      </c>
      <c r="S38" s="30">
        <v>51.18</v>
      </c>
      <c r="U38" s="43">
        <v>53.399756202495333</v>
      </c>
      <c r="V38" s="22">
        <f>IFERROR(VLOOKUP(A34,'Count of Providers as of Jan 18'!A:B,2,FALSE),0)</f>
        <v>2</v>
      </c>
      <c r="W38" s="42">
        <f t="shared" si="2"/>
        <v>-2.2197562024953328</v>
      </c>
    </row>
    <row r="39" spans="1:23">
      <c r="A39" s="23" t="s">
        <v>81</v>
      </c>
      <c r="B39" s="24">
        <v>5631</v>
      </c>
      <c r="C39" s="24">
        <v>6459</v>
      </c>
      <c r="D39" s="24">
        <f>VLOOKUP(A39,'[3]2017'!$B:$I,8,FALSE)</f>
        <v>6025</v>
      </c>
      <c r="E39" s="25">
        <f t="shared" si="3"/>
        <v>6038.333333333333</v>
      </c>
      <c r="F39" s="26">
        <v>17</v>
      </c>
      <c r="G39" s="24">
        <v>13</v>
      </c>
      <c r="H39" s="24">
        <f>VLOOKUP(A39,'[3]2017'!$B:$D,3,FALSE)</f>
        <v>15</v>
      </c>
      <c r="I39" s="27">
        <f t="shared" si="4"/>
        <v>15</v>
      </c>
      <c r="J39" s="28" t="s">
        <v>79</v>
      </c>
      <c r="K39" s="29">
        <v>329835</v>
      </c>
      <c r="L39" s="29">
        <v>316862</v>
      </c>
      <c r="M39" s="29">
        <v>367500</v>
      </c>
      <c r="N39" s="29">
        <f t="shared" si="0"/>
        <v>338065.66666666669</v>
      </c>
      <c r="O39" s="24">
        <v>69</v>
      </c>
      <c r="P39" s="24">
        <v>31</v>
      </c>
      <c r="Q39" s="24">
        <v>66</v>
      </c>
      <c r="R39" s="27">
        <f t="shared" si="1"/>
        <v>55.333333333333336</v>
      </c>
      <c r="S39" s="30">
        <v>55.292953446960055</v>
      </c>
      <c r="U39" s="43">
        <v>47.307374703621939</v>
      </c>
      <c r="V39" s="22">
        <f>IFERROR(VLOOKUP(A35,'Count of Providers as of Jan 18'!A:B,2,FALSE),0)</f>
        <v>9</v>
      </c>
      <c r="W39" s="42">
        <f t="shared" si="2"/>
        <v>7.9855787433381167</v>
      </c>
    </row>
    <row r="40" spans="1:23">
      <c r="A40" s="23" t="s">
        <v>82</v>
      </c>
      <c r="B40" s="24">
        <v>7611</v>
      </c>
      <c r="C40" s="24">
        <v>6885</v>
      </c>
      <c r="D40" s="24">
        <f>VLOOKUP(A40,'[3]2017'!$B:$I,8,FALSE)</f>
        <v>6956</v>
      </c>
      <c r="E40" s="25">
        <f t="shared" si="3"/>
        <v>7150.666666666667</v>
      </c>
      <c r="F40" s="26">
        <v>198</v>
      </c>
      <c r="G40" s="24">
        <v>187</v>
      </c>
      <c r="H40" s="24">
        <f>VLOOKUP(A40,'[3]2017'!$B:$D,3,FALSE)</f>
        <v>139</v>
      </c>
      <c r="I40" s="27">
        <f t="shared" si="4"/>
        <v>174.66666666666666</v>
      </c>
      <c r="J40" s="28" t="s">
        <v>80</v>
      </c>
      <c r="K40" s="29">
        <v>240182</v>
      </c>
      <c r="L40" s="29">
        <v>251015</v>
      </c>
      <c r="M40" s="29">
        <v>239713</v>
      </c>
      <c r="N40" s="29">
        <f t="shared" si="0"/>
        <v>243636.66666666666</v>
      </c>
      <c r="O40" s="24">
        <v>37</v>
      </c>
      <c r="P40" s="24">
        <v>61</v>
      </c>
      <c r="Q40" s="24">
        <v>62</v>
      </c>
      <c r="R40" s="27">
        <f t="shared" si="1"/>
        <v>53.333333333333336</v>
      </c>
      <c r="S40" s="30">
        <v>50.997079002785135</v>
      </c>
      <c r="U40" s="43">
        <v>69.009811645061959</v>
      </c>
      <c r="V40" s="22">
        <f>IFERROR(VLOOKUP(A36,'Count of Providers as of Jan 18'!A:B,2,FALSE),0)</f>
        <v>11</v>
      </c>
      <c r="W40" s="42">
        <f t="shared" si="2"/>
        <v>-18.012732642276823</v>
      </c>
    </row>
    <row r="41" spans="1:23">
      <c r="A41" s="23" t="s">
        <v>83</v>
      </c>
      <c r="B41" s="24">
        <v>8123</v>
      </c>
      <c r="C41" s="24">
        <v>8893</v>
      </c>
      <c r="D41" s="24">
        <f>VLOOKUP(A41,'[3]2017'!$B:$I,8,FALSE)</f>
        <v>7934</v>
      </c>
      <c r="E41" s="25">
        <f t="shared" si="3"/>
        <v>8316.6666666666661</v>
      </c>
      <c r="F41" s="26">
        <v>101</v>
      </c>
      <c r="G41" s="24">
        <v>62</v>
      </c>
      <c r="H41" s="24">
        <f>VLOOKUP(A41,'[3]2017'!$B:$D,3,FALSE)</f>
        <v>90</v>
      </c>
      <c r="I41" s="27">
        <f t="shared" si="4"/>
        <v>84.333333333333329</v>
      </c>
      <c r="J41" s="28" t="s">
        <v>81</v>
      </c>
      <c r="K41" s="29">
        <v>349999</v>
      </c>
      <c r="L41" s="29">
        <v>371181</v>
      </c>
      <c r="M41" s="29">
        <v>386825</v>
      </c>
      <c r="N41" s="29">
        <f t="shared" si="0"/>
        <v>369335</v>
      </c>
      <c r="O41" s="24">
        <v>132</v>
      </c>
      <c r="P41" s="24">
        <v>86</v>
      </c>
      <c r="Q41" s="24">
        <v>135</v>
      </c>
      <c r="R41" s="27">
        <f t="shared" si="1"/>
        <v>117.66666666666667</v>
      </c>
      <c r="S41" s="30">
        <v>44.217344671722977</v>
      </c>
      <c r="U41" s="43">
        <v>53.45083754015603</v>
      </c>
      <c r="V41" s="22">
        <f>IFERROR(VLOOKUP(A37,'Count of Providers as of Jan 18'!A:B,2,FALSE),0)</f>
        <v>14</v>
      </c>
      <c r="W41" s="42">
        <f t="shared" si="2"/>
        <v>-9.2334928684330535</v>
      </c>
    </row>
    <row r="42" spans="1:23">
      <c r="A42" s="23" t="s">
        <v>84</v>
      </c>
      <c r="B42" s="24">
        <v>9205</v>
      </c>
      <c r="C42" s="24">
        <v>8914</v>
      </c>
      <c r="D42" s="24">
        <f>VLOOKUP(A42,'[3]2017'!$B:$I,8,FALSE)</f>
        <v>9786</v>
      </c>
      <c r="E42" s="25">
        <f t="shared" si="3"/>
        <v>9301.6666666666661</v>
      </c>
      <c r="F42" s="26">
        <v>10</v>
      </c>
      <c r="G42" s="24">
        <v>18</v>
      </c>
      <c r="H42" s="24">
        <f>VLOOKUP(A42,'[3]2017'!$B:$D,3,FALSE)</f>
        <v>12</v>
      </c>
      <c r="I42" s="27">
        <f t="shared" si="4"/>
        <v>13.333333333333334</v>
      </c>
      <c r="J42" s="28" t="s">
        <v>82</v>
      </c>
      <c r="K42" s="29">
        <v>316664</v>
      </c>
      <c r="L42" s="29">
        <v>292805</v>
      </c>
      <c r="M42" s="29">
        <v>307353</v>
      </c>
      <c r="N42" s="29">
        <f t="shared" si="0"/>
        <v>305607.33333333331</v>
      </c>
      <c r="O42" s="24">
        <v>39</v>
      </c>
      <c r="P42" s="24">
        <v>25</v>
      </c>
      <c r="Q42" s="24">
        <v>30</v>
      </c>
      <c r="R42" s="27">
        <f t="shared" si="1"/>
        <v>31.333333333333332</v>
      </c>
      <c r="S42" s="30">
        <v>38.958157389635311</v>
      </c>
      <c r="U42" s="43">
        <v>38.635642517186675</v>
      </c>
      <c r="V42" s="22">
        <f>IFERROR(VLOOKUP(A38,'Count of Providers as of Jan 18'!A:B,2,FALSE),0)</f>
        <v>0</v>
      </c>
      <c r="W42" s="42">
        <f t="shared" si="2"/>
        <v>0.32251487244863597</v>
      </c>
    </row>
    <row r="43" spans="1:23">
      <c r="A43" s="23" t="s">
        <v>85</v>
      </c>
      <c r="B43" s="24" t="s">
        <v>52</v>
      </c>
      <c r="C43" s="24">
        <v>7292</v>
      </c>
      <c r="D43" s="24">
        <f>VLOOKUP(A43,'[3]2017'!$B:$I,8,FALSE)</f>
        <v>7725</v>
      </c>
      <c r="E43" s="25">
        <f t="shared" si="3"/>
        <v>7508.5</v>
      </c>
      <c r="F43" s="26">
        <v>7</v>
      </c>
      <c r="G43" s="24">
        <v>12</v>
      </c>
      <c r="H43" s="24">
        <f>VLOOKUP(A43,'[3]2017'!$B:$D,3,FALSE)</f>
        <v>12</v>
      </c>
      <c r="I43" s="27">
        <f t="shared" si="4"/>
        <v>10.333333333333334</v>
      </c>
      <c r="J43" s="28" t="s">
        <v>83</v>
      </c>
      <c r="K43" s="29">
        <v>277869</v>
      </c>
      <c r="L43" s="29">
        <v>285928</v>
      </c>
      <c r="M43" s="29">
        <v>305000</v>
      </c>
      <c r="N43" s="29">
        <f t="shared" si="0"/>
        <v>289599</v>
      </c>
      <c r="O43" s="24">
        <v>34</v>
      </c>
      <c r="P43" s="24">
        <v>23</v>
      </c>
      <c r="Q43" s="24">
        <v>31</v>
      </c>
      <c r="R43" s="27">
        <f t="shared" si="1"/>
        <v>29.333333333333332</v>
      </c>
      <c r="S43" s="30">
        <v>49.320290572890869</v>
      </c>
      <c r="U43" s="43">
        <v>37.146665473900789</v>
      </c>
      <c r="V43" s="22">
        <f>IFERROR(VLOOKUP(A39,'Count of Providers as of Jan 18'!A:B,2,FALSE),0)</f>
        <v>5</v>
      </c>
      <c r="W43" s="42">
        <f t="shared" si="2"/>
        <v>12.17362509899008</v>
      </c>
    </row>
    <row r="44" spans="1:23">
      <c r="A44" s="23" t="s">
        <v>86</v>
      </c>
      <c r="B44" s="24" t="s">
        <v>52</v>
      </c>
      <c r="C44" s="24" t="s">
        <v>52</v>
      </c>
      <c r="D44" s="24">
        <f>VLOOKUP(A44,'[3]2017'!$B:$I,8,FALSE)</f>
        <v>0</v>
      </c>
      <c r="E44" s="25">
        <f t="shared" si="3"/>
        <v>0</v>
      </c>
      <c r="F44" s="26">
        <v>6</v>
      </c>
      <c r="G44" s="24">
        <v>6</v>
      </c>
      <c r="H44" s="24">
        <f>VLOOKUP(A44,'[3]2017'!$B:$D,3,FALSE)</f>
        <v>5</v>
      </c>
      <c r="I44" s="27">
        <f t="shared" si="4"/>
        <v>5.666666666666667</v>
      </c>
      <c r="J44" s="28" t="s">
        <v>84</v>
      </c>
      <c r="K44" s="29">
        <v>253053</v>
      </c>
      <c r="L44" s="29">
        <v>278609</v>
      </c>
      <c r="M44" s="29">
        <v>260209</v>
      </c>
      <c r="N44" s="29">
        <f t="shared" si="0"/>
        <v>263957</v>
      </c>
      <c r="O44" s="24">
        <v>377</v>
      </c>
      <c r="P44" s="24">
        <v>259</v>
      </c>
      <c r="Q44" s="24">
        <v>247</v>
      </c>
      <c r="R44" s="27">
        <f t="shared" si="1"/>
        <v>294.33333333333331</v>
      </c>
      <c r="S44" s="30">
        <v>38.958157389635311</v>
      </c>
      <c r="T44" s="77" t="s">
        <v>268</v>
      </c>
      <c r="U44" s="43">
        <v>37.15</v>
      </c>
      <c r="V44" s="22">
        <f>IFERROR(VLOOKUP(A40,'Count of Providers as of Jan 18'!A:B,2,FALSE),0)</f>
        <v>12</v>
      </c>
      <c r="W44" s="42">
        <f t="shared" si="2"/>
        <v>1.808157389635312</v>
      </c>
    </row>
    <row r="45" spans="1:23">
      <c r="A45" s="23" t="s">
        <v>87</v>
      </c>
      <c r="B45" s="24">
        <v>8133</v>
      </c>
      <c r="C45" s="24" t="s">
        <v>52</v>
      </c>
      <c r="D45" s="24">
        <f>VLOOKUP(A45,'[3]2017'!$B:$I,8,FALSE)</f>
        <v>7020</v>
      </c>
      <c r="E45" s="25">
        <f t="shared" si="3"/>
        <v>7576.5</v>
      </c>
      <c r="F45" s="26">
        <v>11</v>
      </c>
      <c r="G45" s="24">
        <v>7</v>
      </c>
      <c r="H45" s="24">
        <f>VLOOKUP(A45,'[3]2017'!$B:$D,3,FALSE)</f>
        <v>10</v>
      </c>
      <c r="I45" s="27">
        <f t="shared" si="4"/>
        <v>9.3333333333333339</v>
      </c>
      <c r="J45" s="28" t="s">
        <v>85</v>
      </c>
      <c r="K45" s="29">
        <v>249281</v>
      </c>
      <c r="L45" s="29">
        <v>312840</v>
      </c>
      <c r="M45" s="29">
        <v>259388</v>
      </c>
      <c r="N45" s="29">
        <f t="shared" si="0"/>
        <v>273836.33333333331</v>
      </c>
      <c r="O45" s="24">
        <v>133</v>
      </c>
      <c r="P45" s="24">
        <v>80</v>
      </c>
      <c r="Q45" s="24">
        <v>140</v>
      </c>
      <c r="R45" s="27">
        <f t="shared" si="1"/>
        <v>117.66666666666667</v>
      </c>
      <c r="S45" s="30">
        <v>35.852557015927609</v>
      </c>
      <c r="T45" s="77" t="s">
        <v>268</v>
      </c>
      <c r="U45" s="43">
        <v>45.85</v>
      </c>
      <c r="V45" s="22">
        <f>IFERROR(VLOOKUP(A41,'Count of Providers as of Jan 18'!A:B,2,FALSE),0)</f>
        <v>2</v>
      </c>
      <c r="W45" s="42">
        <f t="shared" si="2"/>
        <v>-9.9974429840723928</v>
      </c>
    </row>
    <row r="46" spans="1:23">
      <c r="A46" s="23" t="s">
        <v>88</v>
      </c>
      <c r="B46" s="24">
        <v>12025</v>
      </c>
      <c r="C46" s="24">
        <v>9856</v>
      </c>
      <c r="D46" s="24">
        <f>VLOOKUP(A46,'[3]2017'!$B:$I,8,FALSE)</f>
        <v>11976</v>
      </c>
      <c r="E46" s="25">
        <f t="shared" si="3"/>
        <v>11285.666666666666</v>
      </c>
      <c r="F46" s="26">
        <v>19</v>
      </c>
      <c r="G46" s="24">
        <v>24</v>
      </c>
      <c r="H46" s="24">
        <f>VLOOKUP(A46,'[3]2017'!$B:$D,3,FALSE)</f>
        <v>20</v>
      </c>
      <c r="I46" s="27">
        <f t="shared" si="4"/>
        <v>21</v>
      </c>
      <c r="J46" s="28" t="s">
        <v>86</v>
      </c>
      <c r="K46" s="29">
        <v>282332</v>
      </c>
      <c r="L46" s="29">
        <v>267956</v>
      </c>
      <c r="M46" s="29">
        <v>458000</v>
      </c>
      <c r="N46" s="29">
        <f t="shared" si="0"/>
        <v>336096</v>
      </c>
      <c r="O46" s="24">
        <v>14</v>
      </c>
      <c r="P46" s="24">
        <v>17</v>
      </c>
      <c r="Q46" s="24">
        <v>17</v>
      </c>
      <c r="R46" s="27">
        <f t="shared" si="1"/>
        <v>16</v>
      </c>
      <c r="S46" s="30">
        <v>35.852557015927609</v>
      </c>
      <c r="T46" s="77" t="s">
        <v>268</v>
      </c>
      <c r="U46" s="43">
        <v>56.78</v>
      </c>
      <c r="V46" s="22">
        <f>IFERROR(VLOOKUP(A42,'Count of Providers as of Jan 18'!A:B,2,FALSE),0)</f>
        <v>3</v>
      </c>
      <c r="W46" s="42">
        <f t="shared" si="2"/>
        <v>-20.927442984072393</v>
      </c>
    </row>
    <row r="47" spans="1:23">
      <c r="A47" s="23" t="s">
        <v>89</v>
      </c>
      <c r="B47" s="24">
        <v>5673</v>
      </c>
      <c r="C47" s="24">
        <v>6050</v>
      </c>
      <c r="D47" s="24">
        <f>VLOOKUP(A47,'[3]2017'!$B:$I,8,FALSE)</f>
        <v>6720</v>
      </c>
      <c r="E47" s="25">
        <f t="shared" si="3"/>
        <v>6147.666666666667</v>
      </c>
      <c r="F47" s="26">
        <v>21</v>
      </c>
      <c r="G47" s="24">
        <v>20</v>
      </c>
      <c r="H47" s="24">
        <f>VLOOKUP(A47,'[3]2017'!$B:$D,3,FALSE)</f>
        <v>23</v>
      </c>
      <c r="I47" s="27">
        <f t="shared" si="4"/>
        <v>21.333333333333332</v>
      </c>
      <c r="J47" s="28" t="s">
        <v>281</v>
      </c>
      <c r="K47" s="29">
        <v>243681</v>
      </c>
      <c r="L47" s="29">
        <v>199775</v>
      </c>
      <c r="M47" s="29">
        <v>244191</v>
      </c>
      <c r="N47" s="29">
        <f t="shared" si="0"/>
        <v>229215.66666666666</v>
      </c>
      <c r="O47" s="24">
        <v>11</v>
      </c>
      <c r="P47" s="24">
        <v>11</v>
      </c>
      <c r="Q47" s="24">
        <v>13</v>
      </c>
      <c r="R47" s="27">
        <f t="shared" si="1"/>
        <v>11.666666666666666</v>
      </c>
      <c r="S47" s="30">
        <v>35.852557015927609</v>
      </c>
      <c r="T47" s="77" t="s">
        <v>268</v>
      </c>
      <c r="U47" s="43">
        <v>39.909999999999997</v>
      </c>
      <c r="V47" s="22">
        <f>IFERROR(VLOOKUP(A43,'Count of Providers as of Jan 18'!A:B,2,FALSE),0)</f>
        <v>2</v>
      </c>
      <c r="W47" s="42">
        <f t="shared" si="2"/>
        <v>-4.057442984072388</v>
      </c>
    </row>
    <row r="48" spans="1:23">
      <c r="A48" s="23" t="s">
        <v>90</v>
      </c>
      <c r="B48" s="24">
        <v>9294</v>
      </c>
      <c r="C48" s="24">
        <v>9377</v>
      </c>
      <c r="D48" s="24">
        <f>VLOOKUP(A48,'[3]2017'!$B:$I,8,FALSE)</f>
        <v>8339</v>
      </c>
      <c r="E48" s="25">
        <f t="shared" si="3"/>
        <v>9003.3333333333339</v>
      </c>
      <c r="F48" s="26">
        <v>15</v>
      </c>
      <c r="G48" s="24">
        <v>16</v>
      </c>
      <c r="H48" s="24">
        <f>VLOOKUP(A48,'[3]2017'!$B:$D,3,FALSE)</f>
        <v>22</v>
      </c>
      <c r="I48" s="27">
        <f t="shared" si="4"/>
        <v>17.666666666666668</v>
      </c>
      <c r="J48" s="28" t="s">
        <v>88</v>
      </c>
      <c r="K48" s="29">
        <v>196698</v>
      </c>
      <c r="L48" s="29" t="s">
        <v>52</v>
      </c>
      <c r="M48" s="29">
        <v>0</v>
      </c>
      <c r="N48" s="29">
        <f t="shared" si="0"/>
        <v>98349</v>
      </c>
      <c r="O48" s="24">
        <v>11</v>
      </c>
      <c r="P48" s="24">
        <v>8</v>
      </c>
      <c r="Q48" s="24">
        <v>5</v>
      </c>
      <c r="R48" s="27">
        <f t="shared" si="1"/>
        <v>8</v>
      </c>
      <c r="S48" s="30">
        <v>35.852557015927609</v>
      </c>
      <c r="T48" s="77"/>
      <c r="U48" s="43">
        <v>38.66003741262184</v>
      </c>
      <c r="V48" s="22">
        <f>IFERROR(VLOOKUP(A44,'Count of Providers as of Jan 18'!A:B,2,FALSE),0)</f>
        <v>1</v>
      </c>
      <c r="W48" s="42">
        <f t="shared" si="2"/>
        <v>-2.8074803966942312</v>
      </c>
    </row>
    <row r="49" spans="1:23">
      <c r="A49" s="23" t="s">
        <v>91</v>
      </c>
      <c r="B49" s="24">
        <v>7846</v>
      </c>
      <c r="C49" s="24">
        <v>8413</v>
      </c>
      <c r="D49" s="24">
        <f>VLOOKUP(A49,'[3]2017'!$B:$I,8,FALSE)</f>
        <v>9928</v>
      </c>
      <c r="E49" s="25">
        <f t="shared" si="3"/>
        <v>8729</v>
      </c>
      <c r="F49" s="26">
        <v>82</v>
      </c>
      <c r="G49" s="24">
        <v>30</v>
      </c>
      <c r="H49" s="24">
        <f>VLOOKUP(A49,'[3]2017'!$B:$D,3,FALSE)</f>
        <v>33</v>
      </c>
      <c r="I49" s="27">
        <f t="shared" si="4"/>
        <v>48.333333333333336</v>
      </c>
      <c r="J49" s="28" t="s">
        <v>89</v>
      </c>
      <c r="K49" s="29">
        <v>227679</v>
      </c>
      <c r="L49" s="29" t="s">
        <v>52</v>
      </c>
      <c r="M49" s="29">
        <v>360284</v>
      </c>
      <c r="N49" s="29">
        <f t="shared" si="0"/>
        <v>293981.5</v>
      </c>
      <c r="O49" s="24">
        <v>13</v>
      </c>
      <c r="P49" s="24">
        <v>8</v>
      </c>
      <c r="Q49" s="24">
        <v>11</v>
      </c>
      <c r="R49" s="27">
        <f t="shared" si="1"/>
        <v>10.666666666666666</v>
      </c>
      <c r="S49" s="30">
        <v>35.852557015927609</v>
      </c>
      <c r="T49" s="77"/>
      <c r="U49" s="43">
        <v>41.946101180903369</v>
      </c>
      <c r="V49" s="22">
        <f>IFERROR(VLOOKUP(A45,'Count of Providers as of Jan 18'!A:B,2,FALSE),0)</f>
        <v>2</v>
      </c>
      <c r="W49" s="42">
        <f t="shared" si="2"/>
        <v>-6.0935441649757607</v>
      </c>
    </row>
    <row r="50" spans="1:23">
      <c r="A50" s="23" t="s">
        <v>92</v>
      </c>
      <c r="B50" s="24">
        <v>10014</v>
      </c>
      <c r="C50" s="24">
        <v>10485</v>
      </c>
      <c r="D50" s="24">
        <f>VLOOKUP(A50,'[3]2017'!$B:$I,8,FALSE)</f>
        <v>9025</v>
      </c>
      <c r="E50" s="25">
        <f t="shared" si="3"/>
        <v>9841.3333333333339</v>
      </c>
      <c r="F50" s="26">
        <v>32</v>
      </c>
      <c r="G50" s="24">
        <v>24</v>
      </c>
      <c r="H50" s="24">
        <f>VLOOKUP(A50,'[3]2017'!$B:$D,3,FALSE)</f>
        <v>43</v>
      </c>
      <c r="I50" s="27">
        <f t="shared" si="4"/>
        <v>33</v>
      </c>
      <c r="J50" s="28" t="s">
        <v>256</v>
      </c>
      <c r="K50" s="29"/>
      <c r="L50" s="29"/>
      <c r="M50" s="29"/>
      <c r="N50" s="29"/>
      <c r="O50" s="24"/>
      <c r="P50" s="24"/>
      <c r="Q50" s="24"/>
      <c r="R50" s="27"/>
      <c r="S50" s="30"/>
      <c r="T50" s="79" t="s">
        <v>268</v>
      </c>
      <c r="U50" s="43">
        <v>54.56</v>
      </c>
      <c r="W50" s="42"/>
    </row>
    <row r="51" spans="1:23">
      <c r="A51" s="23" t="s">
        <v>93</v>
      </c>
      <c r="B51" s="24">
        <v>9738</v>
      </c>
      <c r="C51" s="24">
        <v>12613</v>
      </c>
      <c r="D51" s="24">
        <f>VLOOKUP(A51,'[3]2017'!$B:$I,8,FALSE)</f>
        <v>11097</v>
      </c>
      <c r="E51" s="25">
        <f t="shared" si="3"/>
        <v>11149.333333333334</v>
      </c>
      <c r="F51" s="26">
        <v>36</v>
      </c>
      <c r="G51" s="24">
        <v>27</v>
      </c>
      <c r="H51" s="24">
        <f>VLOOKUP(A51,'[3]2017'!$B:$D,3,FALSE)</f>
        <v>35</v>
      </c>
      <c r="I51" s="27">
        <f t="shared" si="4"/>
        <v>32.666666666666664</v>
      </c>
      <c r="J51" s="28" t="s">
        <v>90</v>
      </c>
      <c r="K51" s="29">
        <v>348004</v>
      </c>
      <c r="L51" s="29">
        <v>285455</v>
      </c>
      <c r="M51" s="29">
        <v>339645</v>
      </c>
      <c r="N51" s="29">
        <f t="shared" si="0"/>
        <v>324368</v>
      </c>
      <c r="O51" s="24">
        <v>14</v>
      </c>
      <c r="P51" s="24">
        <v>31</v>
      </c>
      <c r="Q51" s="24">
        <v>28</v>
      </c>
      <c r="R51" s="27">
        <f t="shared" si="1"/>
        <v>24.333333333333332</v>
      </c>
      <c r="S51" s="30">
        <v>34.321378141767859</v>
      </c>
      <c r="U51" s="43">
        <v>49.284279077155226</v>
      </c>
      <c r="V51" s="22">
        <f>IFERROR(VLOOKUP(A46,'Count of Providers as of Jan 18'!A:B,2,FALSE),0)</f>
        <v>3</v>
      </c>
      <c r="W51" s="42">
        <f t="shared" si="2"/>
        <v>-14.962900935387367</v>
      </c>
    </row>
    <row r="52" spans="1:23">
      <c r="A52" s="23" t="s">
        <v>94</v>
      </c>
      <c r="B52" s="24">
        <v>8834</v>
      </c>
      <c r="C52" s="24">
        <v>8609</v>
      </c>
      <c r="D52" s="24">
        <f>VLOOKUP(A52,'[3]2017'!$B:$I,8,FALSE)</f>
        <v>6956</v>
      </c>
      <c r="E52" s="25">
        <f t="shared" si="3"/>
        <v>8133</v>
      </c>
      <c r="F52" s="26">
        <v>20</v>
      </c>
      <c r="G52" s="24">
        <v>10</v>
      </c>
      <c r="H52" s="24">
        <f>VLOOKUP(A52,'[3]2017'!$B:$D,3,FALSE)</f>
        <v>10</v>
      </c>
      <c r="I52" s="27">
        <f t="shared" si="4"/>
        <v>13.333333333333334</v>
      </c>
      <c r="J52" s="28" t="s">
        <v>91</v>
      </c>
      <c r="K52" s="29">
        <v>244503</v>
      </c>
      <c r="L52" s="29">
        <v>285113</v>
      </c>
      <c r="M52" s="29">
        <v>282851</v>
      </c>
      <c r="N52" s="29">
        <f t="shared" si="0"/>
        <v>270822.33333333331</v>
      </c>
      <c r="O52" s="24">
        <v>22</v>
      </c>
      <c r="P52" s="24">
        <v>23</v>
      </c>
      <c r="Q52" s="24">
        <v>28</v>
      </c>
      <c r="R52" s="27">
        <f t="shared" si="1"/>
        <v>24.333333333333332</v>
      </c>
      <c r="S52" s="30">
        <v>42.085209713024284</v>
      </c>
      <c r="U52" s="43">
        <v>54.55650813091107</v>
      </c>
      <c r="V52" s="22">
        <f>IFERROR(VLOOKUP(A47,'Count of Providers as of Jan 18'!A:B,2,FALSE),0)</f>
        <v>2</v>
      </c>
      <c r="W52" s="42">
        <f t="shared" si="2"/>
        <v>-12.471298417886786</v>
      </c>
    </row>
    <row r="53" spans="1:23">
      <c r="A53" s="23" t="s">
        <v>95</v>
      </c>
      <c r="B53" s="24" t="s">
        <v>52</v>
      </c>
      <c r="C53" s="24" t="s">
        <v>52</v>
      </c>
      <c r="D53" s="24">
        <f>VLOOKUP(A53,'[3]2017'!$B:$I,8,FALSE)</f>
        <v>0</v>
      </c>
      <c r="E53" s="25">
        <f t="shared" si="3"/>
        <v>0</v>
      </c>
      <c r="F53" s="26">
        <v>9</v>
      </c>
      <c r="G53" s="24">
        <v>6</v>
      </c>
      <c r="H53" s="24">
        <f>VLOOKUP(A53,'[3]2017'!$B:$D,3,FALSE)</f>
        <v>7</v>
      </c>
      <c r="I53" s="27">
        <f t="shared" si="4"/>
        <v>7.333333333333333</v>
      </c>
      <c r="J53" s="28" t="s">
        <v>92</v>
      </c>
      <c r="K53" s="29">
        <v>441501</v>
      </c>
      <c r="L53" s="29">
        <v>392448</v>
      </c>
      <c r="M53" s="29">
        <v>367635</v>
      </c>
      <c r="N53" s="29">
        <f t="shared" si="0"/>
        <v>400528</v>
      </c>
      <c r="O53" s="24">
        <v>27</v>
      </c>
      <c r="P53" s="24">
        <v>17</v>
      </c>
      <c r="Q53" s="24">
        <v>27</v>
      </c>
      <c r="R53" s="27">
        <f t="shared" si="1"/>
        <v>23.666666666666668</v>
      </c>
      <c r="S53" s="30">
        <v>45.227220956719819</v>
      </c>
      <c r="U53" s="43">
        <v>53.568590382566256</v>
      </c>
      <c r="V53" s="22">
        <f>IFERROR(VLOOKUP(A48,'Count of Providers as of Jan 18'!A:B,2,FALSE),0)</f>
        <v>2</v>
      </c>
      <c r="W53" s="42">
        <f t="shared" si="2"/>
        <v>-8.3413694258464375</v>
      </c>
    </row>
    <row r="54" spans="1:23">
      <c r="A54" s="23" t="s">
        <v>96</v>
      </c>
      <c r="B54" s="24">
        <v>12192</v>
      </c>
      <c r="C54" s="24">
        <v>15525</v>
      </c>
      <c r="D54" s="24">
        <f>VLOOKUP(A54,'[3]2017'!$B:$I,8,FALSE)</f>
        <v>14035</v>
      </c>
      <c r="E54" s="25">
        <f t="shared" si="3"/>
        <v>13917.333333333334</v>
      </c>
      <c r="F54" s="26">
        <v>33</v>
      </c>
      <c r="G54" s="24">
        <v>26</v>
      </c>
      <c r="H54" s="24">
        <f>VLOOKUP(A54,'[3]2017'!$B:$D,3,FALSE)</f>
        <v>31</v>
      </c>
      <c r="I54" s="27">
        <f t="shared" si="4"/>
        <v>30</v>
      </c>
      <c r="J54" s="28" t="s">
        <v>93</v>
      </c>
      <c r="K54" s="29">
        <v>444425</v>
      </c>
      <c r="L54" s="29">
        <v>407997</v>
      </c>
      <c r="M54" s="29">
        <v>444656</v>
      </c>
      <c r="N54" s="29">
        <f t="shared" si="0"/>
        <v>432359.33333333331</v>
      </c>
      <c r="O54" s="24">
        <v>104</v>
      </c>
      <c r="P54" s="24">
        <v>35</v>
      </c>
      <c r="Q54" s="24">
        <v>56</v>
      </c>
      <c r="R54" s="27">
        <f t="shared" si="1"/>
        <v>65</v>
      </c>
      <c r="S54" s="30">
        <v>52.724146341463417</v>
      </c>
      <c r="U54" s="43">
        <v>48.437622652088592</v>
      </c>
      <c r="V54" s="22">
        <f>IFERROR(VLOOKUP(A49,'Count of Providers as of Jan 18'!A:B,2,FALSE),0)</f>
        <v>0</v>
      </c>
      <c r="W54" s="42">
        <f t="shared" si="2"/>
        <v>4.2865236893748246</v>
      </c>
    </row>
    <row r="55" spans="1:23">
      <c r="A55" s="23" t="s">
        <v>97</v>
      </c>
      <c r="B55" s="24">
        <v>8760</v>
      </c>
      <c r="C55" s="24">
        <v>10107</v>
      </c>
      <c r="D55" s="24">
        <f>VLOOKUP(A55,'[3]2017'!$B:$I,8,FALSE)</f>
        <v>8341</v>
      </c>
      <c r="E55" s="25">
        <f t="shared" si="3"/>
        <v>9069.3333333333339</v>
      </c>
      <c r="F55" s="26">
        <v>54</v>
      </c>
      <c r="G55" s="24">
        <v>36</v>
      </c>
      <c r="H55" s="24">
        <f>VLOOKUP(A55,'[3]2017'!$B:$D,3,FALSE)</f>
        <v>52</v>
      </c>
      <c r="I55" s="27">
        <f t="shared" si="4"/>
        <v>47.333333333333336</v>
      </c>
      <c r="J55" s="28" t="s">
        <v>94</v>
      </c>
      <c r="K55" s="29">
        <v>499018</v>
      </c>
      <c r="L55" s="29">
        <v>527350</v>
      </c>
      <c r="M55" s="29">
        <v>502426</v>
      </c>
      <c r="N55" s="29">
        <f t="shared" si="0"/>
        <v>509598</v>
      </c>
      <c r="O55" s="24">
        <v>39</v>
      </c>
      <c r="P55" s="24">
        <v>34</v>
      </c>
      <c r="Q55" s="24">
        <v>52</v>
      </c>
      <c r="R55" s="27">
        <f t="shared" si="1"/>
        <v>41.666666666666664</v>
      </c>
      <c r="S55" s="30">
        <v>53.389064036069016</v>
      </c>
      <c r="U55" s="43">
        <v>54.55650813091107</v>
      </c>
      <c r="V55" s="22">
        <f>IFERROR(VLOOKUP(A50,'Count of Providers as of Jan 18'!A:B,2,FALSE),0)</f>
        <v>3</v>
      </c>
      <c r="W55" s="42">
        <f t="shared" si="2"/>
        <v>-1.1674440948420539</v>
      </c>
    </row>
    <row r="56" spans="1:23">
      <c r="A56" s="23" t="s">
        <v>98</v>
      </c>
      <c r="B56" s="24">
        <v>10466</v>
      </c>
      <c r="C56" s="24">
        <v>9828</v>
      </c>
      <c r="D56" s="24">
        <f>VLOOKUP(A56,'[3]2017'!$B:$I,8,FALSE)</f>
        <v>9354</v>
      </c>
      <c r="E56" s="25">
        <f t="shared" si="3"/>
        <v>9882.6666666666661</v>
      </c>
      <c r="F56" s="26">
        <v>35</v>
      </c>
      <c r="G56" s="24">
        <v>41</v>
      </c>
      <c r="H56" s="24">
        <f>VLOOKUP(A56,'[3]2017'!$B:$D,3,FALSE)</f>
        <v>46</v>
      </c>
      <c r="I56" s="27">
        <f t="shared" si="4"/>
        <v>40.666666666666664</v>
      </c>
      <c r="J56" s="28" t="s">
        <v>95</v>
      </c>
      <c r="K56" s="29">
        <v>512952</v>
      </c>
      <c r="L56" s="29">
        <v>548288</v>
      </c>
      <c r="M56" s="29">
        <v>525000</v>
      </c>
      <c r="N56" s="29">
        <f t="shared" si="0"/>
        <v>528746.66666666663</v>
      </c>
      <c r="O56" s="24">
        <v>53</v>
      </c>
      <c r="P56" s="24">
        <v>31</v>
      </c>
      <c r="Q56" s="24">
        <v>39</v>
      </c>
      <c r="R56" s="27">
        <f t="shared" si="1"/>
        <v>41</v>
      </c>
      <c r="S56" s="30">
        <v>46.878843573137289</v>
      </c>
      <c r="U56" s="43">
        <v>54.55650813091107</v>
      </c>
      <c r="V56" s="22">
        <f>IFERROR(VLOOKUP(A51,'Count of Providers as of Jan 18'!A:B,2,FALSE),0)</f>
        <v>2</v>
      </c>
      <c r="W56" s="42">
        <f t="shared" si="2"/>
        <v>-7.677664557773781</v>
      </c>
    </row>
    <row r="57" spans="1:23">
      <c r="A57" s="23" t="s">
        <v>99</v>
      </c>
      <c r="B57" s="24">
        <v>7604</v>
      </c>
      <c r="C57" s="24">
        <v>8990</v>
      </c>
      <c r="D57" s="24">
        <f>VLOOKUP(A57,'[3]2017'!$B:$I,8,FALSE)</f>
        <v>7533</v>
      </c>
      <c r="E57" s="25">
        <f t="shared" si="3"/>
        <v>8042.333333333333</v>
      </c>
      <c r="F57" s="26">
        <v>86</v>
      </c>
      <c r="G57" s="24">
        <v>92</v>
      </c>
      <c r="H57" s="24">
        <f>VLOOKUP(A57,'[3]2017'!$B:$D,3,FALSE)</f>
        <v>131</v>
      </c>
      <c r="I57" s="27">
        <f t="shared" si="4"/>
        <v>103</v>
      </c>
      <c r="J57" s="28" t="s">
        <v>96</v>
      </c>
      <c r="K57" s="29">
        <v>500756</v>
      </c>
      <c r="L57" s="29">
        <v>439454</v>
      </c>
      <c r="M57" s="29">
        <v>498319</v>
      </c>
      <c r="N57" s="29">
        <f t="shared" si="0"/>
        <v>479509.66666666669</v>
      </c>
      <c r="O57" s="24">
        <v>26</v>
      </c>
      <c r="P57" s="24">
        <v>15</v>
      </c>
      <c r="Q57" s="24">
        <v>12</v>
      </c>
      <c r="R57" s="27">
        <f t="shared" si="1"/>
        <v>17.666666666666668</v>
      </c>
      <c r="S57" s="30">
        <v>52.724146341463417</v>
      </c>
      <c r="U57" s="43">
        <v>56.928471948495599</v>
      </c>
      <c r="V57" s="22">
        <f>IFERROR(VLOOKUP(A52,'Count of Providers as of Jan 18'!A:B,2,FALSE),0)</f>
        <v>1</v>
      </c>
      <c r="W57" s="42">
        <f t="shared" si="2"/>
        <v>-4.2043256070321817</v>
      </c>
    </row>
    <row r="58" spans="1:23">
      <c r="A58" s="23" t="s">
        <v>100</v>
      </c>
      <c r="B58" s="24">
        <v>6466</v>
      </c>
      <c r="C58" s="24">
        <v>7134</v>
      </c>
      <c r="D58" s="24">
        <f>VLOOKUP(A58,'[3]2017'!$B:$I,8,FALSE)</f>
        <v>6070</v>
      </c>
      <c r="E58" s="25">
        <f t="shared" si="3"/>
        <v>6556.666666666667</v>
      </c>
      <c r="F58" s="26">
        <v>123</v>
      </c>
      <c r="G58" s="24">
        <v>46</v>
      </c>
      <c r="H58" s="24">
        <f>VLOOKUP(A58,'[3]2017'!$B:$D,3,FALSE)</f>
        <v>69</v>
      </c>
      <c r="I58" s="27">
        <f t="shared" si="4"/>
        <v>79.333333333333329</v>
      </c>
      <c r="J58" s="28" t="s">
        <v>97</v>
      </c>
      <c r="K58" s="29">
        <v>489375</v>
      </c>
      <c r="L58" s="29" t="s">
        <v>52</v>
      </c>
      <c r="M58" s="29">
        <v>0</v>
      </c>
      <c r="N58" s="29">
        <f t="shared" si="0"/>
        <v>244687.5</v>
      </c>
      <c r="O58" s="24">
        <v>11</v>
      </c>
      <c r="P58" s="24">
        <v>9</v>
      </c>
      <c r="Q58" s="24">
        <v>8</v>
      </c>
      <c r="R58" s="27">
        <f t="shared" si="1"/>
        <v>9.3333333333333339</v>
      </c>
      <c r="S58" s="30">
        <v>52.724146341463417</v>
      </c>
      <c r="U58" s="43">
        <v>60.106497218788626</v>
      </c>
      <c r="V58" s="22">
        <f>IFERROR(VLOOKUP(A53,'Count of Providers as of Jan 18'!A:B,2,FALSE),0)</f>
        <v>0</v>
      </c>
      <c r="W58" s="42">
        <f t="shared" si="2"/>
        <v>-7.3823508773252087</v>
      </c>
    </row>
    <row r="59" spans="1:23">
      <c r="A59" s="23" t="s">
        <v>101</v>
      </c>
      <c r="B59" s="24">
        <v>5808</v>
      </c>
      <c r="C59" s="24">
        <v>6269</v>
      </c>
      <c r="D59" s="24">
        <f>VLOOKUP(A59,'[3]2017'!$B:$I,8,FALSE)</f>
        <v>7163</v>
      </c>
      <c r="E59" s="25">
        <f t="shared" si="3"/>
        <v>6413.333333333333</v>
      </c>
      <c r="F59" s="26">
        <v>31</v>
      </c>
      <c r="G59" s="24">
        <v>43</v>
      </c>
      <c r="H59" s="24">
        <f>VLOOKUP(A59,'[3]2017'!$B:$D,3,FALSE)</f>
        <v>69</v>
      </c>
      <c r="I59" s="27">
        <f t="shared" si="4"/>
        <v>47.666666666666664</v>
      </c>
      <c r="J59" s="28" t="s">
        <v>98</v>
      </c>
      <c r="K59" s="29">
        <v>600642</v>
      </c>
      <c r="L59" s="29">
        <v>610000</v>
      </c>
      <c r="M59" s="29">
        <v>734127</v>
      </c>
      <c r="N59" s="29">
        <f t="shared" si="0"/>
        <v>648256.33333333337</v>
      </c>
      <c r="O59" s="24">
        <v>43</v>
      </c>
      <c r="P59" s="24">
        <v>35</v>
      </c>
      <c r="Q59" s="24">
        <v>40</v>
      </c>
      <c r="R59" s="27">
        <f t="shared" si="1"/>
        <v>39.333333333333336</v>
      </c>
      <c r="S59" s="30">
        <v>50.001875816217499</v>
      </c>
      <c r="U59" s="43">
        <v>61.224272663902859</v>
      </c>
      <c r="V59" s="22">
        <f>IFERROR(VLOOKUP(A54,'Count of Providers as of Jan 18'!A:B,2,FALSE),0)</f>
        <v>2</v>
      </c>
      <c r="W59" s="42">
        <f t="shared" si="2"/>
        <v>-11.22239684768536</v>
      </c>
    </row>
    <row r="60" spans="1:23">
      <c r="A60" s="23" t="s">
        <v>102</v>
      </c>
      <c r="B60" s="24" t="s">
        <v>52</v>
      </c>
      <c r="C60" s="24" t="s">
        <v>52</v>
      </c>
      <c r="E60" s="25">
        <f t="shared" si="3"/>
        <v>0</v>
      </c>
      <c r="F60" s="26">
        <v>3</v>
      </c>
      <c r="G60" s="24">
        <v>2</v>
      </c>
      <c r="I60" s="27">
        <f t="shared" si="4"/>
        <v>2.5</v>
      </c>
      <c r="J60" s="28" t="s">
        <v>99</v>
      </c>
      <c r="K60" s="29">
        <v>503762</v>
      </c>
      <c r="L60" s="29">
        <v>495552</v>
      </c>
      <c r="M60" s="29">
        <v>491719</v>
      </c>
      <c r="N60" s="29">
        <f t="shared" si="0"/>
        <v>497011</v>
      </c>
      <c r="O60" s="24">
        <v>69</v>
      </c>
      <c r="P60" s="24">
        <v>48</v>
      </c>
      <c r="Q60" s="24">
        <v>70</v>
      </c>
      <c r="R60" s="27">
        <f t="shared" si="1"/>
        <v>62.333333333333336</v>
      </c>
      <c r="S60" s="30">
        <v>55.299387807470943</v>
      </c>
      <c r="U60" s="43">
        <v>49.412072346916538</v>
      </c>
      <c r="V60" s="22">
        <f>IFERROR(VLOOKUP(A55,'Count of Providers as of Jan 18'!A:B,2,FALSE),0)</f>
        <v>4</v>
      </c>
      <c r="W60" s="42">
        <f t="shared" si="2"/>
        <v>5.8873154605544045</v>
      </c>
    </row>
    <row r="61" spans="1:23">
      <c r="A61" s="23" t="s">
        <v>103</v>
      </c>
      <c r="B61" s="24" t="s">
        <v>52</v>
      </c>
      <c r="C61" s="24">
        <v>5786</v>
      </c>
      <c r="D61" s="24">
        <f>VLOOKUP(A61,'[3]2017'!$B:$I,8,FALSE)</f>
        <v>0</v>
      </c>
      <c r="E61" s="25">
        <f t="shared" si="3"/>
        <v>2893</v>
      </c>
      <c r="F61" s="26">
        <v>7</v>
      </c>
      <c r="G61" s="24">
        <v>12</v>
      </c>
      <c r="H61" s="24">
        <f>VLOOKUP(A61,'[3]2017'!$B:$D,3,FALSE)</f>
        <v>7</v>
      </c>
      <c r="I61" s="27">
        <f t="shared" si="4"/>
        <v>8.6666666666666661</v>
      </c>
      <c r="J61" s="28" t="s">
        <v>282</v>
      </c>
      <c r="K61" s="29">
        <v>533363</v>
      </c>
      <c r="L61" s="29">
        <v>565000</v>
      </c>
      <c r="M61" s="29">
        <v>527836</v>
      </c>
      <c r="N61" s="29">
        <f t="shared" si="0"/>
        <v>542066.33333333337</v>
      </c>
      <c r="O61" s="24">
        <v>49</v>
      </c>
      <c r="P61" s="24">
        <v>53</v>
      </c>
      <c r="Q61" s="24">
        <v>64</v>
      </c>
      <c r="R61" s="27">
        <f t="shared" si="1"/>
        <v>55.333333333333336</v>
      </c>
      <c r="S61" s="30">
        <v>56.876131142976462</v>
      </c>
      <c r="U61" s="43">
        <v>119.01598245064243</v>
      </c>
      <c r="V61" s="22">
        <f>IFERROR(VLOOKUP(A56,'Count of Providers as of Jan 18'!A:B,2,FALSE),0)</f>
        <v>3</v>
      </c>
      <c r="W61" s="42">
        <f t="shared" si="2"/>
        <v>-62.139851307665964</v>
      </c>
    </row>
    <row r="62" spans="1:23">
      <c r="A62" s="23" t="s">
        <v>104</v>
      </c>
      <c r="B62" s="24" t="s">
        <v>52</v>
      </c>
      <c r="C62" s="24" t="s">
        <v>52</v>
      </c>
      <c r="D62" s="24">
        <f>VLOOKUP(A62,'[3]2017'!$B:$I,8,FALSE)</f>
        <v>0</v>
      </c>
      <c r="E62" s="25">
        <f t="shared" si="3"/>
        <v>0</v>
      </c>
      <c r="F62" s="26">
        <v>3</v>
      </c>
      <c r="G62" s="24">
        <v>6</v>
      </c>
      <c r="H62" s="24">
        <f>VLOOKUP(A62,'[3]2017'!$B:$D,3,FALSE)</f>
        <v>8</v>
      </c>
      <c r="I62" s="27">
        <f t="shared" si="4"/>
        <v>5.666666666666667</v>
      </c>
      <c r="J62" s="28" t="s">
        <v>100</v>
      </c>
      <c r="K62" s="29">
        <v>333971</v>
      </c>
      <c r="L62" s="29">
        <v>337776</v>
      </c>
      <c r="M62" s="29">
        <v>350576</v>
      </c>
      <c r="N62" s="29">
        <f t="shared" si="0"/>
        <v>340774.33333333331</v>
      </c>
      <c r="O62" s="24">
        <v>199</v>
      </c>
      <c r="P62" s="24">
        <v>155</v>
      </c>
      <c r="Q62" s="24">
        <v>209</v>
      </c>
      <c r="R62" s="27">
        <f t="shared" si="1"/>
        <v>187.66666666666666</v>
      </c>
      <c r="S62" s="30">
        <v>45.325474243493424</v>
      </c>
      <c r="U62" s="43">
        <v>38.91984010098885</v>
      </c>
      <c r="V62" s="22">
        <f>IFERROR(VLOOKUP(A57,'Count of Providers as of Jan 18'!A:B,2,FALSE),0)</f>
        <v>15</v>
      </c>
      <c r="W62" s="42">
        <f t="shared" si="2"/>
        <v>6.4056341425045744</v>
      </c>
    </row>
    <row r="63" spans="1:23">
      <c r="A63" s="23" t="s">
        <v>105</v>
      </c>
      <c r="B63" s="24" t="s">
        <v>52</v>
      </c>
      <c r="C63" s="24" t="s">
        <v>52</v>
      </c>
      <c r="D63" s="24">
        <f>VLOOKUP(A63,'[3]2017'!$B:$I,8,FALSE)</f>
        <v>0</v>
      </c>
      <c r="E63" s="25">
        <f t="shared" si="3"/>
        <v>0</v>
      </c>
      <c r="F63" s="26">
        <v>3</v>
      </c>
      <c r="G63" s="24">
        <v>2</v>
      </c>
      <c r="H63" s="24">
        <f>VLOOKUP(A63,'[3]2017'!$B:$D,3,FALSE)</f>
        <v>4</v>
      </c>
      <c r="I63" s="27">
        <f t="shared" si="4"/>
        <v>3</v>
      </c>
      <c r="J63" s="28" t="s">
        <v>101</v>
      </c>
      <c r="K63" s="29">
        <v>259395</v>
      </c>
      <c r="L63" s="29">
        <v>226639</v>
      </c>
      <c r="M63" s="29">
        <v>226358</v>
      </c>
      <c r="N63" s="29">
        <f t="shared" si="0"/>
        <v>237464</v>
      </c>
      <c r="O63" s="24">
        <v>191</v>
      </c>
      <c r="P63" s="24">
        <v>74</v>
      </c>
      <c r="Q63" s="24">
        <v>121</v>
      </c>
      <c r="R63" s="27">
        <f t="shared" si="1"/>
        <v>128.66666666666666</v>
      </c>
      <c r="S63" s="30">
        <v>35.088406301247332</v>
      </c>
      <c r="U63" s="43">
        <v>46.890722591783884</v>
      </c>
      <c r="V63" s="22">
        <f>IFERROR(VLOOKUP(A58,'Count of Providers as of Jan 18'!A:B,2,FALSE),0)</f>
        <v>4</v>
      </c>
      <c r="W63" s="42">
        <f t="shared" si="2"/>
        <v>-11.802316290536552</v>
      </c>
    </row>
    <row r="64" spans="1:23">
      <c r="A64" s="23" t="s">
        <v>106</v>
      </c>
      <c r="B64" s="24">
        <v>2912</v>
      </c>
      <c r="C64" s="24">
        <v>3151</v>
      </c>
      <c r="D64" s="24">
        <f>VLOOKUP(A64,'[3]2017'!$B:$I,8,FALSE)</f>
        <v>4750</v>
      </c>
      <c r="E64" s="25">
        <f t="shared" si="3"/>
        <v>3604.3333333333335</v>
      </c>
      <c r="F64" s="26">
        <v>34</v>
      </c>
      <c r="G64" s="24">
        <v>14</v>
      </c>
      <c r="H64" s="24">
        <f>VLOOKUP(A64,'[3]2017'!$B:$D,3,FALSE)</f>
        <v>30</v>
      </c>
      <c r="I64" s="27">
        <f t="shared" si="4"/>
        <v>26</v>
      </c>
      <c r="J64" s="28" t="s">
        <v>102</v>
      </c>
      <c r="K64" s="29">
        <v>231820</v>
      </c>
      <c r="L64" s="29">
        <v>265159</v>
      </c>
      <c r="M64" s="29">
        <v>242785</v>
      </c>
      <c r="N64" s="29">
        <f t="shared" si="0"/>
        <v>246588</v>
      </c>
      <c r="O64" s="24">
        <v>64</v>
      </c>
      <c r="P64" s="24">
        <v>63</v>
      </c>
      <c r="Q64" s="24">
        <v>91</v>
      </c>
      <c r="R64" s="27">
        <f t="shared" si="1"/>
        <v>72.666666666666671</v>
      </c>
      <c r="S64" s="30">
        <v>46.560119681525435</v>
      </c>
      <c r="U64" s="43">
        <v>38.91984010098885</v>
      </c>
      <c r="V64" s="22">
        <f>IFERROR(VLOOKUP(A59,'Count of Providers as of Jan 18'!A:B,2,FALSE),0)</f>
        <v>0</v>
      </c>
      <c r="W64" s="42">
        <f t="shared" si="2"/>
        <v>7.6402795805365855</v>
      </c>
    </row>
    <row r="65" spans="1:23">
      <c r="A65" s="23" t="s">
        <v>107</v>
      </c>
      <c r="B65" s="24">
        <v>8210</v>
      </c>
      <c r="C65" s="24">
        <v>6776</v>
      </c>
      <c r="D65" s="24">
        <f>VLOOKUP(A65,'[3]2017'!$B:$I,8,FALSE)</f>
        <v>0</v>
      </c>
      <c r="E65" s="25">
        <f t="shared" si="3"/>
        <v>4995.333333333333</v>
      </c>
      <c r="F65" s="26">
        <v>10</v>
      </c>
      <c r="G65" s="24">
        <v>13</v>
      </c>
      <c r="H65" s="24">
        <f>VLOOKUP(A65,'[3]2017'!$B:$D,3,FALSE)</f>
        <v>8</v>
      </c>
      <c r="I65" s="27">
        <f t="shared" si="4"/>
        <v>10.333333333333334</v>
      </c>
      <c r="J65" s="28" t="s">
        <v>103</v>
      </c>
      <c r="K65" s="29">
        <v>199991</v>
      </c>
      <c r="L65" s="29" t="s">
        <v>52</v>
      </c>
      <c r="M65" s="29">
        <v>0</v>
      </c>
      <c r="N65" s="29">
        <f t="shared" si="0"/>
        <v>99995.5</v>
      </c>
      <c r="O65" s="24">
        <v>12</v>
      </c>
      <c r="P65" s="24">
        <v>9</v>
      </c>
      <c r="Q65" s="24">
        <v>7</v>
      </c>
      <c r="R65" s="27">
        <f t="shared" si="1"/>
        <v>9.3333333333333339</v>
      </c>
      <c r="S65" s="30">
        <v>35.088406301247332</v>
      </c>
      <c r="U65" s="43">
        <v>38.91984010098885</v>
      </c>
      <c r="V65" s="22">
        <f>IFERROR(VLOOKUP(A60,'Count of Providers as of Jan 18'!A:B,2,FALSE),0)</f>
        <v>2</v>
      </c>
      <c r="W65" s="42">
        <f t="shared" si="2"/>
        <v>-3.831433799741518</v>
      </c>
    </row>
    <row r="66" spans="1:23">
      <c r="A66" s="23" t="str">
        <f>J71</f>
        <v>Pathology: Surgical</v>
      </c>
      <c r="F66" s="26"/>
      <c r="I66" s="27"/>
      <c r="J66" s="28" t="s">
        <v>104</v>
      </c>
      <c r="K66" s="29">
        <v>253427</v>
      </c>
      <c r="L66" s="29">
        <v>258692</v>
      </c>
      <c r="M66" s="29">
        <v>0</v>
      </c>
      <c r="N66" s="29">
        <f t="shared" si="0"/>
        <v>170706.33333333334</v>
      </c>
      <c r="O66" s="24">
        <v>10</v>
      </c>
      <c r="P66" s="24">
        <v>14</v>
      </c>
      <c r="Q66" s="24">
        <v>8</v>
      </c>
      <c r="R66" s="27">
        <f t="shared" si="1"/>
        <v>10.666666666666666</v>
      </c>
      <c r="S66" s="30">
        <v>35.088406301247332</v>
      </c>
      <c r="U66" s="43">
        <v>38.91984010098885</v>
      </c>
      <c r="V66" s="22">
        <f>IFERROR(VLOOKUP(A61,'Count of Providers as of Jan 18'!A:B,2,FALSE),0)</f>
        <v>2</v>
      </c>
      <c r="W66" s="42">
        <f t="shared" si="2"/>
        <v>-3.831433799741518</v>
      </c>
    </row>
    <row r="67" spans="1:23">
      <c r="A67" s="23" t="s">
        <v>108</v>
      </c>
      <c r="B67" s="24">
        <v>7467</v>
      </c>
      <c r="C67" s="24">
        <v>6625</v>
      </c>
      <c r="D67" s="24">
        <f>VLOOKUP(A67,'[3]2017'!$B:$I,8,FALSE)</f>
        <v>9778</v>
      </c>
      <c r="E67" s="25">
        <f>IFERROR(AVERAGE(B67:D67),0)</f>
        <v>7956.666666666667</v>
      </c>
      <c r="F67" s="26">
        <v>36</v>
      </c>
      <c r="G67" s="24">
        <v>59</v>
      </c>
      <c r="H67" s="24">
        <f>VLOOKUP(A67,'[3]2017'!$B:$D,3,FALSE)</f>
        <v>25</v>
      </c>
      <c r="I67" s="27">
        <f>AVERAGE(F67:H67)</f>
        <v>40</v>
      </c>
      <c r="J67" s="28" t="s">
        <v>105</v>
      </c>
      <c r="K67" s="29">
        <v>216900</v>
      </c>
      <c r="L67" s="29">
        <v>224300</v>
      </c>
      <c r="M67" s="29">
        <v>236629</v>
      </c>
      <c r="N67" s="29">
        <f t="shared" si="0"/>
        <v>225943</v>
      </c>
      <c r="O67" s="24">
        <v>15</v>
      </c>
      <c r="P67" s="24">
        <v>16</v>
      </c>
      <c r="Q67" s="24">
        <v>11</v>
      </c>
      <c r="R67" s="27">
        <f t="shared" si="1"/>
        <v>14</v>
      </c>
      <c r="S67" s="30">
        <v>35.088406301247332</v>
      </c>
      <c r="U67" s="43">
        <v>38.91984010098885</v>
      </c>
      <c r="V67" s="22">
        <f>IFERROR(VLOOKUP(A62,'Count of Providers as of Jan 18'!A:B,2,FALSE),0)</f>
        <v>2</v>
      </c>
      <c r="W67" s="42">
        <f t="shared" si="2"/>
        <v>-3.831433799741518</v>
      </c>
    </row>
    <row r="68" spans="1:23">
      <c r="A68" s="23" t="s">
        <v>109</v>
      </c>
      <c r="B68" s="24">
        <v>2822</v>
      </c>
      <c r="C68" s="24">
        <v>3252</v>
      </c>
      <c r="D68" s="24">
        <f>VLOOKUP(A68,'[3]2017'!$B:$I,8,FALSE)</f>
        <v>3478</v>
      </c>
      <c r="E68" s="25">
        <f>IFERROR(AVERAGE(B68:D68),0)</f>
        <v>3184</v>
      </c>
      <c r="F68" s="26">
        <v>12</v>
      </c>
      <c r="G68" s="24">
        <v>10</v>
      </c>
      <c r="H68" s="24">
        <f>VLOOKUP(A68,'[3]2017'!$B:$D,3,FALSE)</f>
        <v>17</v>
      </c>
      <c r="I68" s="27">
        <f>AVERAGE(F68:H68)</f>
        <v>13</v>
      </c>
      <c r="J68" s="28" t="s">
        <v>106</v>
      </c>
      <c r="K68" s="29" t="s">
        <v>52</v>
      </c>
      <c r="L68" s="29" t="s">
        <v>52</v>
      </c>
      <c r="M68" s="29">
        <v>0</v>
      </c>
      <c r="N68" s="29">
        <f t="shared" si="0"/>
        <v>0</v>
      </c>
      <c r="O68" s="24">
        <v>7</v>
      </c>
      <c r="P68" s="24">
        <v>4</v>
      </c>
      <c r="Q68" s="24">
        <v>4</v>
      </c>
      <c r="R68" s="27">
        <f t="shared" si="1"/>
        <v>5</v>
      </c>
      <c r="S68" s="30">
        <v>35.088406301247332</v>
      </c>
      <c r="U68" s="43">
        <v>62.10655153996796</v>
      </c>
      <c r="V68" s="22">
        <f>IFERROR(VLOOKUP(A63,'Count of Providers as of Jan 18'!A:B,2,FALSE),0)</f>
        <v>3</v>
      </c>
      <c r="W68" s="42">
        <f t="shared" si="2"/>
        <v>-27.018145238720628</v>
      </c>
    </row>
    <row r="69" spans="1:23">
      <c r="A69" s="23" t="s">
        <v>110</v>
      </c>
      <c r="B69" s="24">
        <v>3741</v>
      </c>
      <c r="C69" s="24">
        <v>4201</v>
      </c>
      <c r="D69" s="24">
        <f>VLOOKUP(A69,'[3]2017'!$B:$I,8,FALSE)</f>
        <v>3505</v>
      </c>
      <c r="E69" s="25">
        <f>IFERROR(AVERAGE(B69:D69),0)</f>
        <v>3815.6666666666665</v>
      </c>
      <c r="F69" s="26">
        <v>22</v>
      </c>
      <c r="G69" s="24">
        <v>15</v>
      </c>
      <c r="H69" s="24">
        <f>VLOOKUP(A69,'[3]2017'!$B:$D,3,FALSE)</f>
        <v>10</v>
      </c>
      <c r="I69" s="27">
        <f>AVERAGE(F69:H69)</f>
        <v>15.666666666666666</v>
      </c>
      <c r="J69" s="28" t="s">
        <v>107</v>
      </c>
      <c r="K69" s="29">
        <v>191652</v>
      </c>
      <c r="L69" s="29">
        <v>206538</v>
      </c>
      <c r="M69" s="29">
        <v>218413</v>
      </c>
      <c r="N69" s="29">
        <f t="shared" si="0"/>
        <v>205534.33333333334</v>
      </c>
      <c r="O69" s="24">
        <v>102</v>
      </c>
      <c r="P69" s="24">
        <v>57</v>
      </c>
      <c r="Q69" s="24">
        <v>105</v>
      </c>
      <c r="R69" s="27">
        <f t="shared" si="1"/>
        <v>88</v>
      </c>
      <c r="S69" s="30">
        <v>65.141092959937765</v>
      </c>
      <c r="U69" s="43">
        <v>38.91984010098885</v>
      </c>
      <c r="V69" s="22">
        <f>IFERROR(VLOOKUP(A64,'Count of Providers as of Jan 18'!A:B,2,FALSE),0)</f>
        <v>8</v>
      </c>
      <c r="W69" s="42">
        <f t="shared" si="2"/>
        <v>26.221252858948915</v>
      </c>
    </row>
    <row r="70" spans="1:23">
      <c r="A70" s="23" t="str">
        <f>J75</f>
        <v>Pediatrics: Cardiology</v>
      </c>
      <c r="F70" s="26"/>
      <c r="I70" s="27"/>
      <c r="J70" s="28" t="s">
        <v>283</v>
      </c>
      <c r="K70" s="29">
        <v>255000</v>
      </c>
      <c r="L70" s="29">
        <v>213277</v>
      </c>
      <c r="M70" s="29">
        <v>212000</v>
      </c>
      <c r="N70" s="29">
        <f t="shared" si="0"/>
        <v>226759</v>
      </c>
      <c r="O70" s="24">
        <v>13</v>
      </c>
      <c r="P70" s="24">
        <v>18</v>
      </c>
      <c r="Q70" s="24">
        <v>17</v>
      </c>
      <c r="R70" s="27">
        <f t="shared" si="1"/>
        <v>16</v>
      </c>
      <c r="S70" s="30">
        <v>35.088406301247332</v>
      </c>
      <c r="U70" s="43">
        <v>62.10655153996796</v>
      </c>
      <c r="V70" s="22">
        <f>IFERROR(VLOOKUP(A65,'Count of Providers as of Jan 18'!A:B,2,FALSE),0)</f>
        <v>5</v>
      </c>
      <c r="W70" s="42">
        <f t="shared" si="2"/>
        <v>-27.018145238720628</v>
      </c>
    </row>
    <row r="71" spans="1:23">
      <c r="A71" s="23" t="s">
        <v>112</v>
      </c>
      <c r="B71" s="24" t="s">
        <v>52</v>
      </c>
      <c r="C71" s="24" t="s">
        <v>52</v>
      </c>
      <c r="D71" s="24">
        <f>VLOOKUP(A71,'[3]2017'!$B:$I,8,FALSE)</f>
        <v>0</v>
      </c>
      <c r="E71" s="25">
        <f>IFERROR(AVERAGE(B71:D71),0)</f>
        <v>0</v>
      </c>
      <c r="F71" s="26">
        <v>4</v>
      </c>
      <c r="G71" s="24">
        <v>3</v>
      </c>
      <c r="H71" s="24">
        <f>VLOOKUP(A71,'[3]2017'!$B:$D,3,FALSE)</f>
        <v>4</v>
      </c>
      <c r="I71" s="27">
        <f>AVERAGE(F71:H71)</f>
        <v>3.6666666666666665</v>
      </c>
      <c r="J71" s="28" t="s">
        <v>108</v>
      </c>
      <c r="K71" s="29">
        <v>230250</v>
      </c>
      <c r="L71" s="29">
        <v>214163</v>
      </c>
      <c r="M71" s="29">
        <v>209040</v>
      </c>
      <c r="N71" s="29">
        <f t="shared" si="0"/>
        <v>217817.66666666666</v>
      </c>
      <c r="O71" s="24">
        <v>10</v>
      </c>
      <c r="P71" s="24">
        <v>11</v>
      </c>
      <c r="Q71" s="24">
        <v>11</v>
      </c>
      <c r="R71" s="27">
        <f t="shared" si="1"/>
        <v>10.666666666666666</v>
      </c>
      <c r="S71" s="30">
        <v>24.688799650113317</v>
      </c>
      <c r="U71" s="43">
        <v>25.756625246310371</v>
      </c>
      <c r="V71" s="22">
        <f>IFERROR(VLOOKUP(A66,'Count of Providers as of Jan 18'!A:B,2,FALSE),0)</f>
        <v>9</v>
      </c>
      <c r="W71" s="42">
        <f t="shared" si="2"/>
        <v>-1.0678255961970535</v>
      </c>
    </row>
    <row r="72" spans="1:23">
      <c r="A72" s="23" t="s">
        <v>113</v>
      </c>
      <c r="B72" s="24">
        <v>4737</v>
      </c>
      <c r="C72" s="24">
        <v>5258</v>
      </c>
      <c r="D72" s="24">
        <f>VLOOKUP(A72,'[3]2017'!$B:$I,8,FALSE)</f>
        <v>5279</v>
      </c>
      <c r="E72" s="25">
        <f>IFERROR(AVERAGE(B72:D72),0)</f>
        <v>5091.333333333333</v>
      </c>
      <c r="F72" s="26">
        <v>147</v>
      </c>
      <c r="G72" s="24">
        <v>90</v>
      </c>
      <c r="H72" s="24">
        <f>VLOOKUP(A72,'[3]2017'!$B:$D,3,FALSE)</f>
        <v>106</v>
      </c>
      <c r="I72" s="27">
        <f>AVERAGE(F72:H72)</f>
        <v>114.33333333333333</v>
      </c>
      <c r="J72" s="28" t="s">
        <v>109</v>
      </c>
      <c r="K72" s="29">
        <v>207948</v>
      </c>
      <c r="L72" s="29">
        <v>218483</v>
      </c>
      <c r="M72" s="29">
        <v>196465</v>
      </c>
      <c r="N72" s="29">
        <f t="shared" ref="N72:N134" si="5">IFERROR(AVERAGE(K72:M72),0)</f>
        <v>207632</v>
      </c>
      <c r="O72" s="24">
        <v>82</v>
      </c>
      <c r="P72" s="24">
        <v>69</v>
      </c>
      <c r="Q72" s="24">
        <v>28</v>
      </c>
      <c r="R72" s="27">
        <f t="shared" ref="R72:R134" si="6">AVERAGE(O72:Q72)</f>
        <v>59.666666666666664</v>
      </c>
      <c r="S72" s="30">
        <v>54.732222800624683</v>
      </c>
      <c r="U72" s="43">
        <v>72.475013220518235</v>
      </c>
      <c r="V72" s="22">
        <f>IFERROR(VLOOKUP(A67,'Count of Providers as of Jan 18'!A:B,2,FALSE),0)</f>
        <v>9</v>
      </c>
      <c r="W72" s="42">
        <f t="shared" ref="W72:W135" si="7">S72-U72</f>
        <v>-17.742790419893552</v>
      </c>
    </row>
    <row r="73" spans="1:23">
      <c r="A73" s="23" t="s">
        <v>114</v>
      </c>
      <c r="B73" s="24" t="s">
        <v>52</v>
      </c>
      <c r="C73" s="24" t="s">
        <v>52</v>
      </c>
      <c r="D73" s="24">
        <f>VLOOKUP(A73,'[3]2017'!$B:$I,8,FALSE)</f>
        <v>9937</v>
      </c>
      <c r="E73" s="25">
        <f>IFERROR(AVERAGE(B73:D73),0)</f>
        <v>9937</v>
      </c>
      <c r="F73" s="26">
        <v>9</v>
      </c>
      <c r="G73" s="24">
        <v>4</v>
      </c>
      <c r="H73" s="24">
        <f>VLOOKUP(A73,'[3]2017'!$B:$D,3,FALSE)</f>
        <v>18</v>
      </c>
      <c r="I73" s="27">
        <f>AVERAGE(F73:H73)</f>
        <v>10.333333333333334</v>
      </c>
      <c r="J73" s="28" t="s">
        <v>110</v>
      </c>
      <c r="K73" s="29">
        <v>153830</v>
      </c>
      <c r="L73" s="29">
        <v>161801</v>
      </c>
      <c r="M73" s="29">
        <v>161083</v>
      </c>
      <c r="N73" s="29">
        <f t="shared" si="5"/>
        <v>158904.66666666666</v>
      </c>
      <c r="O73" s="24">
        <v>39</v>
      </c>
      <c r="P73" s="24">
        <v>31</v>
      </c>
      <c r="Q73" s="24">
        <v>28</v>
      </c>
      <c r="R73" s="27">
        <f t="shared" si="6"/>
        <v>32.666666666666664</v>
      </c>
      <c r="S73" s="30">
        <v>47.224978831498731</v>
      </c>
      <c r="U73" s="43">
        <v>67.160731021555762</v>
      </c>
      <c r="V73" s="22">
        <f>IFERROR(VLOOKUP(A68,'Count of Providers as of Jan 18'!A:B,2,FALSE),0)</f>
        <v>0</v>
      </c>
      <c r="W73" s="42">
        <f t="shared" si="7"/>
        <v>-19.93575219005703</v>
      </c>
    </row>
    <row r="74" spans="1:23">
      <c r="A74" s="23" t="s">
        <v>115</v>
      </c>
      <c r="B74" s="24">
        <v>2839</v>
      </c>
      <c r="C74" s="24">
        <v>1972</v>
      </c>
      <c r="D74" s="24">
        <f>VLOOKUP(A74,'[3]2017'!$B:$I,8,FALSE)</f>
        <v>2295</v>
      </c>
      <c r="E74" s="25">
        <f>IFERROR(AVERAGE(B74:D74),0)</f>
        <v>2368.6666666666665</v>
      </c>
      <c r="F74" s="26">
        <v>23</v>
      </c>
      <c r="G74" s="24">
        <v>14</v>
      </c>
      <c r="H74" s="24">
        <f>VLOOKUP(A74,'[3]2017'!$B:$D,3,FALSE)</f>
        <v>22</v>
      </c>
      <c r="I74" s="27">
        <f>AVERAGE(F74:H74)</f>
        <v>19.666666666666668</v>
      </c>
      <c r="J74" s="28" t="s">
        <v>112</v>
      </c>
      <c r="K74" s="29">
        <v>187430</v>
      </c>
      <c r="L74" s="29">
        <v>169483</v>
      </c>
      <c r="M74" s="29">
        <v>180026</v>
      </c>
      <c r="N74" s="29">
        <f t="shared" si="5"/>
        <v>178979.66666666666</v>
      </c>
      <c r="O74" s="24">
        <v>68</v>
      </c>
      <c r="P74" s="24">
        <v>30</v>
      </c>
      <c r="Q74" s="24">
        <v>35</v>
      </c>
      <c r="R74" s="27">
        <f t="shared" si="6"/>
        <v>44.333333333333336</v>
      </c>
      <c r="S74" s="30">
        <v>54.37</v>
      </c>
      <c r="U74" s="43">
        <v>46.947245228664023</v>
      </c>
      <c r="V74" s="22">
        <f>IFERROR(VLOOKUP(A69,'Count of Providers as of Jan 18'!A:B,2,FALSE),0)</f>
        <v>6</v>
      </c>
      <c r="W74" s="42">
        <f t="shared" si="7"/>
        <v>7.4227547713359741</v>
      </c>
    </row>
    <row r="75" spans="1:23">
      <c r="A75" s="23" t="str">
        <f>J80</f>
        <v>Pediatrics: Emergency Medicine</v>
      </c>
      <c r="F75" s="26"/>
      <c r="I75" s="27"/>
      <c r="J75" s="28" t="s">
        <v>113</v>
      </c>
      <c r="K75" s="29">
        <v>350000</v>
      </c>
      <c r="L75" s="29">
        <v>371992</v>
      </c>
      <c r="M75" s="29">
        <v>373705</v>
      </c>
      <c r="N75" s="29">
        <f t="shared" si="5"/>
        <v>365232.33333333331</v>
      </c>
      <c r="O75" s="24">
        <v>107</v>
      </c>
      <c r="P75" s="24">
        <v>61</v>
      </c>
      <c r="Q75" s="24">
        <v>114</v>
      </c>
      <c r="R75" s="27">
        <f t="shared" si="6"/>
        <v>94</v>
      </c>
      <c r="S75" s="30">
        <v>35.341879746394483</v>
      </c>
      <c r="U75" s="43">
        <v>69.116073339516305</v>
      </c>
      <c r="V75" s="22">
        <f>IFERROR(VLOOKUP(A70,'Count of Providers as of Jan 18'!A:B,2,FALSE),0)</f>
        <v>9</v>
      </c>
      <c r="W75" s="42">
        <f t="shared" si="7"/>
        <v>-33.774193593121822</v>
      </c>
    </row>
    <row r="76" spans="1:23">
      <c r="A76" s="23" t="s">
        <v>116</v>
      </c>
      <c r="B76" s="24">
        <v>6697</v>
      </c>
      <c r="C76" s="24">
        <v>7865</v>
      </c>
      <c r="D76" s="24">
        <f>VLOOKUP(A76,'[3]2017'!$B:$I,8,FALSE)</f>
        <v>6338</v>
      </c>
      <c r="E76" s="25">
        <f t="shared" ref="E76:E105" si="8">IFERROR(AVERAGE(B76:D76),0)</f>
        <v>6966.666666666667</v>
      </c>
      <c r="F76" s="26">
        <v>72</v>
      </c>
      <c r="G76" s="24">
        <v>34</v>
      </c>
      <c r="H76" s="24">
        <f>VLOOKUP(A76,'[3]2017'!$B:$D,3,FALSE)</f>
        <v>74</v>
      </c>
      <c r="I76" s="27">
        <f t="shared" ref="I76:I105" si="9">AVERAGE(F76:H76)</f>
        <v>60</v>
      </c>
      <c r="J76" s="28" t="s">
        <v>114</v>
      </c>
      <c r="K76" s="29">
        <v>209633</v>
      </c>
      <c r="L76" s="29" t="s">
        <v>52</v>
      </c>
      <c r="M76" s="29">
        <v>0</v>
      </c>
      <c r="N76" s="29">
        <f t="shared" si="5"/>
        <v>104816.5</v>
      </c>
      <c r="O76" s="24">
        <v>17</v>
      </c>
      <c r="P76" s="24">
        <v>4</v>
      </c>
      <c r="Q76" s="24">
        <v>12</v>
      </c>
      <c r="R76" s="27">
        <f t="shared" si="6"/>
        <v>11</v>
      </c>
      <c r="S76" s="30">
        <v>51.47819325174116</v>
      </c>
      <c r="T76" s="77" t="s">
        <v>268</v>
      </c>
      <c r="U76" s="43">
        <v>80.28</v>
      </c>
      <c r="V76" s="22">
        <f>IFERROR(VLOOKUP(A71,'Count of Providers as of Jan 18'!A:B,2,FALSE),0)</f>
        <v>0</v>
      </c>
      <c r="W76" s="42">
        <f t="shared" si="7"/>
        <v>-28.801806748258841</v>
      </c>
    </row>
    <row r="77" spans="1:23">
      <c r="A77" s="23" t="s">
        <v>117</v>
      </c>
      <c r="B77" s="24" t="s">
        <v>52</v>
      </c>
      <c r="C77" s="24" t="s">
        <v>52</v>
      </c>
      <c r="D77" s="24">
        <f>VLOOKUP(A77,'[3]2017'!$B:$I,8,FALSE)</f>
        <v>0</v>
      </c>
      <c r="E77" s="25">
        <f t="shared" si="8"/>
        <v>0</v>
      </c>
      <c r="F77" s="26">
        <v>7</v>
      </c>
      <c r="G77" s="24">
        <v>3</v>
      </c>
      <c r="H77" s="24">
        <f>VLOOKUP(A77,'[3]2017'!$B:$D,3,FALSE)</f>
        <v>5</v>
      </c>
      <c r="I77" s="27">
        <f t="shared" si="9"/>
        <v>5</v>
      </c>
      <c r="J77" s="28" t="s">
        <v>115</v>
      </c>
      <c r="K77" s="29">
        <v>249287</v>
      </c>
      <c r="L77" s="29">
        <v>251500</v>
      </c>
      <c r="M77" s="29">
        <v>238591</v>
      </c>
      <c r="N77" s="29">
        <f t="shared" si="5"/>
        <v>246459.33333333334</v>
      </c>
      <c r="O77" s="24">
        <v>276</v>
      </c>
      <c r="P77" s="24">
        <v>207</v>
      </c>
      <c r="Q77" s="24">
        <v>192</v>
      </c>
      <c r="R77" s="27">
        <f t="shared" si="6"/>
        <v>225</v>
      </c>
      <c r="S77" s="30">
        <v>35.341879746394483</v>
      </c>
      <c r="T77" s="77"/>
      <c r="U77" s="43">
        <v>82.628761003810283</v>
      </c>
      <c r="V77" s="22">
        <f>IFERROR(VLOOKUP(A72,'Count of Providers as of Jan 18'!A:B,2,FALSE),0)</f>
        <v>9</v>
      </c>
      <c r="W77" s="42">
        <f t="shared" si="7"/>
        <v>-47.2868812574158</v>
      </c>
    </row>
    <row r="78" spans="1:23">
      <c r="A78" s="23" t="s">
        <v>118</v>
      </c>
      <c r="B78" s="24">
        <v>6170</v>
      </c>
      <c r="C78" s="24">
        <v>6993</v>
      </c>
      <c r="D78" s="24">
        <f>VLOOKUP(A78,'[3]2017'!$B:$I,8,FALSE)</f>
        <v>6614</v>
      </c>
      <c r="E78" s="25">
        <f t="shared" si="8"/>
        <v>6592.333333333333</v>
      </c>
      <c r="F78" s="26">
        <v>57</v>
      </c>
      <c r="G78" s="24">
        <v>71</v>
      </c>
      <c r="H78" s="24">
        <f>VLOOKUP(A78,'[3]2017'!$B:$D,3,FALSE)</f>
        <v>60</v>
      </c>
      <c r="I78" s="27">
        <f t="shared" si="9"/>
        <v>62.666666666666664</v>
      </c>
      <c r="J78" s="28" t="s">
        <v>116</v>
      </c>
      <c r="K78" s="29">
        <v>516400</v>
      </c>
      <c r="L78" s="29">
        <v>642041</v>
      </c>
      <c r="M78" s="29">
        <v>494876</v>
      </c>
      <c r="N78" s="29">
        <f t="shared" si="5"/>
        <v>551105.66666666663</v>
      </c>
      <c r="O78" s="24">
        <v>15</v>
      </c>
      <c r="P78" s="24">
        <v>13</v>
      </c>
      <c r="Q78" s="24">
        <v>19</v>
      </c>
      <c r="R78" s="27">
        <f t="shared" si="6"/>
        <v>15.666666666666666</v>
      </c>
      <c r="S78" s="30">
        <v>71.897409926204602</v>
      </c>
      <c r="U78" s="43">
        <v>51.564436183395294</v>
      </c>
      <c r="V78" s="22">
        <f>IFERROR(VLOOKUP(A73,'Count of Providers as of Jan 18'!A:B,2,FALSE),0)</f>
        <v>0</v>
      </c>
      <c r="W78" s="42">
        <f t="shared" si="7"/>
        <v>20.332973742809308</v>
      </c>
    </row>
    <row r="79" spans="1:23">
      <c r="A79" s="23" t="s">
        <v>119</v>
      </c>
      <c r="B79" s="24">
        <v>3167</v>
      </c>
      <c r="C79" s="24">
        <v>3877</v>
      </c>
      <c r="D79" s="24">
        <f>VLOOKUP(A79,'[3]2017'!$B:$I,8,FALSE)</f>
        <v>3499</v>
      </c>
      <c r="E79" s="25">
        <f t="shared" si="8"/>
        <v>3514.3333333333335</v>
      </c>
      <c r="F79" s="26">
        <v>43</v>
      </c>
      <c r="G79" s="24">
        <v>43</v>
      </c>
      <c r="H79" s="24">
        <f>VLOOKUP(A79,'[3]2017'!$B:$D,3,FALSE)</f>
        <v>52</v>
      </c>
      <c r="I79" s="27">
        <f t="shared" si="9"/>
        <v>46</v>
      </c>
      <c r="J79" s="28" t="s">
        <v>117</v>
      </c>
      <c r="K79" s="29">
        <v>162286</v>
      </c>
      <c r="L79" s="29">
        <v>158849</v>
      </c>
      <c r="M79" s="29">
        <v>160629</v>
      </c>
      <c r="N79" s="29">
        <f t="shared" si="5"/>
        <v>160588</v>
      </c>
      <c r="O79" s="24">
        <v>77</v>
      </c>
      <c r="P79" s="24">
        <v>62</v>
      </c>
      <c r="Q79" s="24">
        <v>43</v>
      </c>
      <c r="R79" s="27">
        <f t="shared" si="6"/>
        <v>60.666666666666664</v>
      </c>
      <c r="S79" s="30">
        <v>37.439371257485028</v>
      </c>
      <c r="T79" s="77" t="s">
        <v>268</v>
      </c>
      <c r="U79" s="43">
        <v>81.3</v>
      </c>
      <c r="V79" s="22">
        <f>IFERROR(VLOOKUP(A74,'Count of Providers as of Jan 18'!A:B,2,FALSE),0)</f>
        <v>0</v>
      </c>
      <c r="W79" s="42">
        <f t="shared" si="7"/>
        <v>-43.860628742514969</v>
      </c>
    </row>
    <row r="80" spans="1:23">
      <c r="A80" s="23" t="s">
        <v>120</v>
      </c>
      <c r="B80" s="24">
        <v>4641</v>
      </c>
      <c r="C80" s="24">
        <v>4551</v>
      </c>
      <c r="D80" s="24">
        <f>VLOOKUP(A80,'[3]2017'!$B:$I,8,FALSE)</f>
        <v>4399</v>
      </c>
      <c r="E80" s="25">
        <f t="shared" si="8"/>
        <v>4530.333333333333</v>
      </c>
      <c r="F80" s="26">
        <v>85</v>
      </c>
      <c r="G80" s="24">
        <v>60</v>
      </c>
      <c r="H80" s="24">
        <f>VLOOKUP(A80,'[3]2017'!$B:$D,3,FALSE)</f>
        <v>59</v>
      </c>
      <c r="I80" s="27">
        <f t="shared" si="9"/>
        <v>68</v>
      </c>
      <c r="J80" s="28" t="s">
        <v>118</v>
      </c>
      <c r="K80" s="29" t="s">
        <v>52</v>
      </c>
      <c r="L80" s="29" t="s">
        <v>52</v>
      </c>
      <c r="M80" s="29" t="e">
        <v>#N/A</v>
      </c>
      <c r="N80" s="29">
        <f t="shared" si="5"/>
        <v>0</v>
      </c>
      <c r="O80" s="24">
        <v>1</v>
      </c>
      <c r="P80" s="24" t="s">
        <v>52</v>
      </c>
      <c r="Q80" s="24" t="e">
        <v>#N/A</v>
      </c>
      <c r="R80" s="27" t="e">
        <f t="shared" si="6"/>
        <v>#N/A</v>
      </c>
      <c r="S80" s="30">
        <v>48.44332570556827</v>
      </c>
      <c r="T80" s="77"/>
      <c r="U80" s="43">
        <v>49.599237673010379</v>
      </c>
      <c r="V80" s="22">
        <f>IFERROR(VLOOKUP(A75,'Count of Providers as of Jan 18'!A:B,2,FALSE),0)</f>
        <v>8</v>
      </c>
      <c r="W80" s="42">
        <f t="shared" si="7"/>
        <v>-1.1559119674421083</v>
      </c>
    </row>
    <row r="81" spans="1:23">
      <c r="A81" s="23" t="s">
        <v>121</v>
      </c>
      <c r="B81" s="24">
        <v>4247</v>
      </c>
      <c r="C81" s="24">
        <v>4513</v>
      </c>
      <c r="D81" s="24">
        <f>VLOOKUP(A81,'[3]2017'!$B:$I,8,FALSE)</f>
        <v>5119</v>
      </c>
      <c r="E81" s="25">
        <f t="shared" si="8"/>
        <v>4626.333333333333</v>
      </c>
      <c r="F81" s="26">
        <v>105</v>
      </c>
      <c r="G81" s="24">
        <v>152</v>
      </c>
      <c r="H81" s="24">
        <f>VLOOKUP(A81,'[3]2017'!$B:$D,3,FALSE)</f>
        <v>182</v>
      </c>
      <c r="I81" s="27">
        <f t="shared" si="9"/>
        <v>146.33333333333334</v>
      </c>
      <c r="J81" s="28" t="s">
        <v>119</v>
      </c>
      <c r="K81" s="29">
        <v>230151</v>
      </c>
      <c r="L81" s="29">
        <v>249740</v>
      </c>
      <c r="M81" s="29">
        <v>247095</v>
      </c>
      <c r="N81" s="29">
        <f t="shared" si="5"/>
        <v>242328.66666666666</v>
      </c>
      <c r="O81" s="24">
        <v>153</v>
      </c>
      <c r="P81" s="24">
        <v>77</v>
      </c>
      <c r="Q81" s="24">
        <v>121</v>
      </c>
      <c r="R81" s="27">
        <f t="shared" si="6"/>
        <v>117</v>
      </c>
      <c r="S81" s="30">
        <v>36.678759417896586</v>
      </c>
      <c r="U81" s="43">
        <v>68.202964710709892</v>
      </c>
      <c r="V81" s="22">
        <f>IFERROR(VLOOKUP(A76,'Count of Providers as of Jan 18'!A:B,2,FALSE),0)</f>
        <v>9</v>
      </c>
      <c r="W81" s="42">
        <f t="shared" si="7"/>
        <v>-31.524205292813306</v>
      </c>
    </row>
    <row r="82" spans="1:23">
      <c r="A82" s="23" t="s">
        <v>122</v>
      </c>
      <c r="B82" s="24">
        <v>1810</v>
      </c>
      <c r="C82" s="24">
        <v>2759</v>
      </c>
      <c r="D82" s="24">
        <f>VLOOKUP(A82,'[3]2017'!$B:$I,8,FALSE)</f>
        <v>1996</v>
      </c>
      <c r="E82" s="25">
        <f t="shared" si="8"/>
        <v>2188.3333333333335</v>
      </c>
      <c r="F82" s="26">
        <v>14</v>
      </c>
      <c r="G82" s="24">
        <v>12</v>
      </c>
      <c r="H82" s="24">
        <f>VLOOKUP(A82,'[3]2017'!$B:$D,3,FALSE)</f>
        <v>16</v>
      </c>
      <c r="I82" s="27">
        <f t="shared" si="9"/>
        <v>14</v>
      </c>
      <c r="J82" s="28" t="s">
        <v>120</v>
      </c>
      <c r="K82" s="29">
        <v>236500</v>
      </c>
      <c r="L82" s="29" t="s">
        <v>52</v>
      </c>
      <c r="M82" s="29">
        <v>328857</v>
      </c>
      <c r="N82" s="29">
        <f t="shared" si="5"/>
        <v>282678.5</v>
      </c>
      <c r="O82" s="24">
        <v>17</v>
      </c>
      <c r="P82" s="24">
        <v>3</v>
      </c>
      <c r="Q82" s="24">
        <v>10</v>
      </c>
      <c r="R82" s="27">
        <f t="shared" si="6"/>
        <v>10</v>
      </c>
      <c r="S82" s="30">
        <v>48.437795713888114</v>
      </c>
      <c r="U82" s="43">
        <v>67.597048119692687</v>
      </c>
      <c r="V82" s="22">
        <f>IFERROR(VLOOKUP(A77,'Count of Providers as of Jan 18'!A:B,2,FALSE),0)</f>
        <v>3</v>
      </c>
      <c r="W82" s="42">
        <f t="shared" si="7"/>
        <v>-19.159252405804573</v>
      </c>
    </row>
    <row r="83" spans="1:23">
      <c r="A83" s="23" t="s">
        <v>123</v>
      </c>
      <c r="B83" s="24">
        <v>3060</v>
      </c>
      <c r="C83" s="24">
        <v>4170</v>
      </c>
      <c r="D83" s="24">
        <f>VLOOKUP(A83,'[3]2017'!$B:$I,8,FALSE)</f>
        <v>4245</v>
      </c>
      <c r="E83" s="25">
        <f t="shared" si="8"/>
        <v>3825</v>
      </c>
      <c r="F83" s="26">
        <v>67</v>
      </c>
      <c r="G83" s="24">
        <v>32</v>
      </c>
      <c r="H83" s="24">
        <f>VLOOKUP(A83,'[3]2017'!$B:$D,3,FALSE)</f>
        <v>47</v>
      </c>
      <c r="I83" s="27">
        <f t="shared" si="9"/>
        <v>48.666666666666664</v>
      </c>
      <c r="J83" s="28" t="s">
        <v>121</v>
      </c>
      <c r="K83" s="29">
        <v>215956</v>
      </c>
      <c r="L83" s="29">
        <v>229654</v>
      </c>
      <c r="M83" s="29">
        <v>232577</v>
      </c>
      <c r="N83" s="29">
        <f t="shared" si="5"/>
        <v>226062.33333333334</v>
      </c>
      <c r="O83" s="24">
        <v>188</v>
      </c>
      <c r="P83" s="24">
        <v>137</v>
      </c>
      <c r="Q83" s="24">
        <v>111</v>
      </c>
      <c r="R83" s="27">
        <f t="shared" si="6"/>
        <v>145.33333333333334</v>
      </c>
      <c r="S83" s="30">
        <v>50.035134517186187</v>
      </c>
      <c r="U83" s="43">
        <v>46.947245228664023</v>
      </c>
      <c r="V83" s="22">
        <f>IFERROR(VLOOKUP(A78,'Count of Providers as of Jan 18'!A:B,2,FALSE),0)</f>
        <v>8</v>
      </c>
      <c r="W83" s="42">
        <f t="shared" si="7"/>
        <v>3.0878892885221632</v>
      </c>
    </row>
    <row r="84" spans="1:23">
      <c r="A84" s="23" t="s">
        <v>124</v>
      </c>
      <c r="B84" s="24">
        <v>2744</v>
      </c>
      <c r="C84" s="24">
        <v>3202</v>
      </c>
      <c r="D84" s="24">
        <f>VLOOKUP(A84,'[3]2017'!$B:$I,8,FALSE)</f>
        <v>3384</v>
      </c>
      <c r="E84" s="25">
        <f t="shared" si="8"/>
        <v>3110</v>
      </c>
      <c r="F84" s="26">
        <v>59</v>
      </c>
      <c r="G84" s="24">
        <v>64</v>
      </c>
      <c r="H84" s="24">
        <f>VLOOKUP(A84,'[3]2017'!$B:$D,3,FALSE)</f>
        <v>105</v>
      </c>
      <c r="I84" s="27">
        <f t="shared" si="9"/>
        <v>76</v>
      </c>
      <c r="J84" s="28" t="s">
        <v>122</v>
      </c>
      <c r="K84" s="29">
        <v>161253</v>
      </c>
      <c r="L84" s="29">
        <v>166675</v>
      </c>
      <c r="M84" s="29">
        <v>172712</v>
      </c>
      <c r="N84" s="29">
        <f t="shared" si="5"/>
        <v>166880</v>
      </c>
      <c r="O84" s="24">
        <v>137</v>
      </c>
      <c r="P84" s="24">
        <v>89</v>
      </c>
      <c r="Q84" s="24">
        <v>90</v>
      </c>
      <c r="R84" s="27">
        <f t="shared" si="6"/>
        <v>105.33333333333333</v>
      </c>
      <c r="S84" s="30">
        <v>35.341879746394483</v>
      </c>
      <c r="U84" s="43">
        <v>104.22491105840498</v>
      </c>
      <c r="V84" s="22">
        <f>IFERROR(VLOOKUP(A79,'Count of Providers as of Jan 18'!A:B,2,FALSE),0)</f>
        <v>6</v>
      </c>
      <c r="W84" s="42">
        <f t="shared" si="7"/>
        <v>-68.883031312010502</v>
      </c>
    </row>
    <row r="85" spans="1:23">
      <c r="A85" s="23" t="s">
        <v>125</v>
      </c>
      <c r="B85" s="24" t="s">
        <v>52</v>
      </c>
      <c r="C85" s="24" t="s">
        <v>52</v>
      </c>
      <c r="D85" s="24">
        <f>VLOOKUP(A85,'[3]2017'!$B:$I,8,FALSE)</f>
        <v>0</v>
      </c>
      <c r="E85" s="25">
        <f t="shared" si="8"/>
        <v>0</v>
      </c>
      <c r="F85" s="26">
        <v>2</v>
      </c>
      <c r="G85" s="24">
        <v>1</v>
      </c>
      <c r="H85" s="24">
        <f>VLOOKUP(A85,'[3]2017'!$B:$D,3,FALSE)</f>
        <v>1</v>
      </c>
      <c r="I85" s="27">
        <f t="shared" si="9"/>
        <v>1.3333333333333333</v>
      </c>
      <c r="J85" s="28" t="s">
        <v>123</v>
      </c>
      <c r="K85" s="29">
        <v>213175</v>
      </c>
      <c r="L85" s="29">
        <v>213881</v>
      </c>
      <c r="M85" s="29">
        <v>208885</v>
      </c>
      <c r="N85" s="29">
        <f t="shared" si="5"/>
        <v>211980.33333333334</v>
      </c>
      <c r="O85" s="24">
        <v>168</v>
      </c>
      <c r="P85" s="24">
        <v>107</v>
      </c>
      <c r="Q85" s="24">
        <v>98</v>
      </c>
      <c r="R85" s="27">
        <f t="shared" si="6"/>
        <v>124.33333333333333</v>
      </c>
      <c r="S85" s="30">
        <v>77.926210495795885</v>
      </c>
      <c r="U85" s="43">
        <v>68.820683824910773</v>
      </c>
      <c r="V85" s="22">
        <f>IFERROR(VLOOKUP(A80,'Count of Providers as of Jan 18'!A:B,2,FALSE),0)</f>
        <v>8</v>
      </c>
      <c r="W85" s="42">
        <f t="shared" si="7"/>
        <v>9.1055266708851121</v>
      </c>
    </row>
    <row r="86" spans="1:23">
      <c r="A86" s="23" t="s">
        <v>126</v>
      </c>
      <c r="B86" s="24">
        <v>2530</v>
      </c>
      <c r="C86" s="24" t="s">
        <v>52</v>
      </c>
      <c r="D86" s="24">
        <f>VLOOKUP(A86,'[3]2017'!$B:$I,8,FALSE)</f>
        <v>2853</v>
      </c>
      <c r="E86" s="25">
        <f t="shared" si="8"/>
        <v>2691.5</v>
      </c>
      <c r="F86" s="26">
        <v>16</v>
      </c>
      <c r="G86" s="24">
        <v>6</v>
      </c>
      <c r="H86" s="24">
        <f>VLOOKUP(A86,'[3]2017'!$B:$D,3,FALSE)</f>
        <v>16</v>
      </c>
      <c r="I86" s="27">
        <f t="shared" si="9"/>
        <v>12.666666666666666</v>
      </c>
      <c r="J86" s="28" t="s">
        <v>124</v>
      </c>
      <c r="K86" s="29">
        <v>153063</v>
      </c>
      <c r="L86" s="29">
        <v>154062</v>
      </c>
      <c r="M86" s="29">
        <v>168492</v>
      </c>
      <c r="N86" s="29">
        <f t="shared" si="5"/>
        <v>158539</v>
      </c>
      <c r="O86" s="24">
        <v>444</v>
      </c>
      <c r="P86" s="24">
        <v>429</v>
      </c>
      <c r="Q86" s="24">
        <v>268</v>
      </c>
      <c r="R86" s="27">
        <f t="shared" si="6"/>
        <v>380.33333333333331</v>
      </c>
      <c r="S86" s="30">
        <v>47.951882132515756</v>
      </c>
      <c r="U86" s="43">
        <v>81.110286412853654</v>
      </c>
      <c r="V86" s="22">
        <f>IFERROR(VLOOKUP(A81,'Count of Providers as of Jan 18'!A:B,2,FALSE),0)</f>
        <v>17</v>
      </c>
      <c r="W86" s="42">
        <f t="shared" si="7"/>
        <v>-33.158404280337898</v>
      </c>
    </row>
    <row r="87" spans="1:23">
      <c r="A87" s="23" t="s">
        <v>127</v>
      </c>
      <c r="B87" s="24" t="s">
        <v>52</v>
      </c>
      <c r="C87" s="24" t="s">
        <v>52</v>
      </c>
      <c r="D87" s="24">
        <f>VLOOKUP(A87,'[3]2017'!$B:$I,8,FALSE)</f>
        <v>0</v>
      </c>
      <c r="E87" s="25">
        <f t="shared" si="8"/>
        <v>0</v>
      </c>
      <c r="F87" s="26">
        <v>4</v>
      </c>
      <c r="G87" s="24">
        <v>4</v>
      </c>
      <c r="H87" s="24">
        <f>VLOOKUP(A87,'[3]2017'!$B:$D,3,FALSE)</f>
        <v>3</v>
      </c>
      <c r="I87" s="27">
        <f t="shared" si="9"/>
        <v>3.6666666666666665</v>
      </c>
      <c r="J87" s="28" t="s">
        <v>125</v>
      </c>
      <c r="K87" s="29">
        <v>175503</v>
      </c>
      <c r="L87" s="29">
        <v>166293</v>
      </c>
      <c r="M87" s="29">
        <v>185889</v>
      </c>
      <c r="N87" s="29">
        <f t="shared" si="5"/>
        <v>175895</v>
      </c>
      <c r="O87" s="24">
        <v>54</v>
      </c>
      <c r="P87" s="24">
        <v>43</v>
      </c>
      <c r="Q87" s="24">
        <v>34</v>
      </c>
      <c r="R87" s="27">
        <f t="shared" si="6"/>
        <v>43.666666666666664</v>
      </c>
      <c r="S87" s="30">
        <v>54.72942874819551</v>
      </c>
      <c r="U87" s="43">
        <v>46.947245228664023</v>
      </c>
      <c r="V87" s="22">
        <f>IFERROR(VLOOKUP(A82,'Count of Providers as of Jan 18'!A:B,2,FALSE),0)</f>
        <v>7</v>
      </c>
      <c r="W87" s="42">
        <f t="shared" si="7"/>
        <v>7.7821835195314861</v>
      </c>
    </row>
    <row r="88" spans="1:23">
      <c r="A88" s="23" t="s">
        <v>128</v>
      </c>
      <c r="B88" s="24">
        <v>10596</v>
      </c>
      <c r="C88" s="24">
        <v>12037</v>
      </c>
      <c r="D88" s="24">
        <f>VLOOKUP(A88,'[3]2017'!$B:$I,8,FALSE)</f>
        <v>12163</v>
      </c>
      <c r="E88" s="25">
        <f t="shared" si="8"/>
        <v>11598.666666666666</v>
      </c>
      <c r="F88" s="26">
        <v>147</v>
      </c>
      <c r="G88" s="24">
        <v>103</v>
      </c>
      <c r="H88" s="24">
        <f>VLOOKUP(A88,'[3]2017'!$B:$D,3,FALSE)</f>
        <v>146</v>
      </c>
      <c r="I88" s="27">
        <f t="shared" si="9"/>
        <v>132</v>
      </c>
      <c r="J88" s="28" t="s">
        <v>126</v>
      </c>
      <c r="K88" s="29">
        <v>180857</v>
      </c>
      <c r="L88" s="29">
        <v>178156</v>
      </c>
      <c r="M88" s="29">
        <v>187367</v>
      </c>
      <c r="N88" s="29">
        <f t="shared" si="5"/>
        <v>182126.66666666666</v>
      </c>
      <c r="O88" s="24">
        <v>242</v>
      </c>
      <c r="P88" s="24">
        <v>113</v>
      </c>
      <c r="Q88" s="24">
        <v>115</v>
      </c>
      <c r="R88" s="27">
        <f t="shared" si="6"/>
        <v>156.66666666666666</v>
      </c>
      <c r="S88" s="30">
        <v>35.341879746394483</v>
      </c>
      <c r="T88" s="77" t="s">
        <v>268</v>
      </c>
      <c r="U88" s="43">
        <v>79.879612379935963</v>
      </c>
      <c r="V88" s="22">
        <f>IFERROR(VLOOKUP(A83,'Count of Providers as of Jan 18'!A:B,2,FALSE),0)</f>
        <v>13</v>
      </c>
      <c r="W88" s="42">
        <f t="shared" si="7"/>
        <v>-44.537732633541481</v>
      </c>
    </row>
    <row r="89" spans="1:23">
      <c r="A89" s="23" t="s">
        <v>129</v>
      </c>
      <c r="B89" s="24">
        <v>3685</v>
      </c>
      <c r="C89" s="24">
        <v>3522</v>
      </c>
      <c r="D89" s="24">
        <f>VLOOKUP(A89,'[3]2017'!$B:$I,8,FALSE)</f>
        <v>3867</v>
      </c>
      <c r="E89" s="25">
        <f t="shared" si="8"/>
        <v>3691.3333333333335</v>
      </c>
      <c r="F89" s="26">
        <v>38</v>
      </c>
      <c r="G89" s="24">
        <v>21</v>
      </c>
      <c r="H89" s="24">
        <f>VLOOKUP(A89,'[3]2017'!$B:$D,3,FALSE)</f>
        <v>28</v>
      </c>
      <c r="I89" s="27">
        <f t="shared" si="9"/>
        <v>29</v>
      </c>
      <c r="J89" s="28" t="s">
        <v>127</v>
      </c>
      <c r="K89" s="29">
        <v>163823</v>
      </c>
      <c r="L89" s="29">
        <v>168728</v>
      </c>
      <c r="M89" s="29">
        <v>176188</v>
      </c>
      <c r="N89" s="29">
        <f t="shared" si="5"/>
        <v>169579.66666666666</v>
      </c>
      <c r="O89" s="24">
        <v>194</v>
      </c>
      <c r="P89" s="24">
        <v>149</v>
      </c>
      <c r="Q89" s="24">
        <v>142</v>
      </c>
      <c r="R89" s="27">
        <f t="shared" si="6"/>
        <v>161.66666666666666</v>
      </c>
      <c r="S89" s="30">
        <v>35.341879746394483</v>
      </c>
      <c r="T89" s="77"/>
      <c r="U89" s="43">
        <v>46.947245228664023</v>
      </c>
      <c r="V89" s="22">
        <f>IFERROR(VLOOKUP(A84,'Count of Providers as of Jan 18'!A:B,2,FALSE),0)</f>
        <v>14</v>
      </c>
      <c r="W89" s="42">
        <f t="shared" si="7"/>
        <v>-11.605365482269541</v>
      </c>
    </row>
    <row r="90" spans="1:23">
      <c r="A90" s="23" t="s">
        <v>130</v>
      </c>
      <c r="B90" s="24">
        <v>8491</v>
      </c>
      <c r="C90" s="24" t="s">
        <v>52</v>
      </c>
      <c r="D90" s="24">
        <f>VLOOKUP(A90,'[3]2017'!$B:$I,8,FALSE)</f>
        <v>0</v>
      </c>
      <c r="E90" s="25">
        <f t="shared" si="8"/>
        <v>4245.5</v>
      </c>
      <c r="F90" s="26">
        <v>11</v>
      </c>
      <c r="G90" s="24">
        <v>8</v>
      </c>
      <c r="H90" s="24">
        <f>VLOOKUP(A90,'[3]2017'!$B:$D,3,FALSE)</f>
        <v>7</v>
      </c>
      <c r="I90" s="27">
        <f t="shared" si="9"/>
        <v>8.6666666666666661</v>
      </c>
      <c r="J90" s="28" t="s">
        <v>128</v>
      </c>
      <c r="K90" s="29" t="s">
        <v>52</v>
      </c>
      <c r="L90" s="29" t="s">
        <v>52</v>
      </c>
      <c r="M90" s="29">
        <v>0</v>
      </c>
      <c r="N90" s="29">
        <f t="shared" si="5"/>
        <v>0</v>
      </c>
      <c r="O90" s="24">
        <v>3</v>
      </c>
      <c r="P90" s="24">
        <v>2</v>
      </c>
      <c r="Q90" s="24">
        <v>1</v>
      </c>
      <c r="R90" s="27">
        <f t="shared" si="6"/>
        <v>2</v>
      </c>
      <c r="S90" s="30">
        <v>35.341879746394483</v>
      </c>
      <c r="U90" s="43">
        <v>29.213066551921976</v>
      </c>
      <c r="V90" s="22">
        <f>IFERROR(VLOOKUP(A85,'Count of Providers as of Jan 18'!A:B,2,FALSE),0)</f>
        <v>0</v>
      </c>
      <c r="W90" s="42">
        <f t="shared" si="7"/>
        <v>6.1288131944725066</v>
      </c>
    </row>
    <row r="91" spans="1:23">
      <c r="A91" s="23" t="s">
        <v>131</v>
      </c>
      <c r="B91" s="24">
        <v>4685</v>
      </c>
      <c r="C91" s="24">
        <v>3988</v>
      </c>
      <c r="D91" s="24">
        <f>VLOOKUP(A91,'[3]2017'!$B:$I,8,FALSE)</f>
        <v>3820</v>
      </c>
      <c r="E91" s="25">
        <f t="shared" si="8"/>
        <v>4164.333333333333</v>
      </c>
      <c r="F91" s="26">
        <v>70</v>
      </c>
      <c r="G91" s="24">
        <v>56</v>
      </c>
      <c r="H91" s="24">
        <f>VLOOKUP(A91,'[3]2017'!$B:$D,3,FALSE)</f>
        <v>65</v>
      </c>
      <c r="I91" s="27">
        <f t="shared" si="9"/>
        <v>63.666666666666664</v>
      </c>
      <c r="J91" s="28" t="s">
        <v>129</v>
      </c>
      <c r="K91" s="29">
        <v>160009</v>
      </c>
      <c r="L91" s="29">
        <v>161704</v>
      </c>
      <c r="M91" s="29">
        <v>162365</v>
      </c>
      <c r="N91" s="29">
        <f t="shared" si="5"/>
        <v>161359.33333333334</v>
      </c>
      <c r="O91" s="24">
        <v>112</v>
      </c>
      <c r="P91" s="24">
        <v>74</v>
      </c>
      <c r="Q91" s="24">
        <v>62</v>
      </c>
      <c r="R91" s="27">
        <f t="shared" si="6"/>
        <v>82.666666666666671</v>
      </c>
      <c r="S91" s="30">
        <v>21.713552218922594</v>
      </c>
      <c r="T91" s="77"/>
      <c r="U91" s="43">
        <v>70.039845819144915</v>
      </c>
      <c r="V91" s="22">
        <f>IFERROR(VLOOKUP(A86,'Count of Providers as of Jan 18'!A:B,2,FALSE),0)</f>
        <v>4</v>
      </c>
      <c r="W91" s="42">
        <f t="shared" si="7"/>
        <v>-48.326293600222321</v>
      </c>
    </row>
    <row r="92" spans="1:23">
      <c r="A92" s="23" t="s">
        <v>132</v>
      </c>
      <c r="B92" s="24">
        <v>6869</v>
      </c>
      <c r="C92" s="24">
        <v>6969</v>
      </c>
      <c r="D92" s="24">
        <f>VLOOKUP(A92,'[3]2017'!$B:$I,8,FALSE)</f>
        <v>8257</v>
      </c>
      <c r="E92" s="25">
        <f t="shared" si="8"/>
        <v>7365</v>
      </c>
      <c r="F92" s="26">
        <v>19</v>
      </c>
      <c r="G92" s="24">
        <v>21</v>
      </c>
      <c r="H92" s="24">
        <f>VLOOKUP(A92,'[3]2017'!$B:$D,3,FALSE)</f>
        <v>19</v>
      </c>
      <c r="I92" s="27">
        <f t="shared" si="9"/>
        <v>19.666666666666668</v>
      </c>
      <c r="J92" s="28" t="s">
        <v>284</v>
      </c>
      <c r="K92" s="29">
        <v>152975</v>
      </c>
      <c r="L92" s="29">
        <v>164785</v>
      </c>
      <c r="M92" s="29">
        <v>198511</v>
      </c>
      <c r="N92" s="29">
        <f t="shared" si="5"/>
        <v>172090.33333333334</v>
      </c>
      <c r="O92" s="24">
        <v>10</v>
      </c>
      <c r="P92" s="24">
        <v>15</v>
      </c>
      <c r="Q92" s="24">
        <v>14</v>
      </c>
      <c r="R92" s="27">
        <f t="shared" si="6"/>
        <v>13</v>
      </c>
      <c r="S92" s="30">
        <v>53.432077044170754</v>
      </c>
      <c r="T92" s="77" t="s">
        <v>268</v>
      </c>
      <c r="U92" s="43">
        <v>126.47761629240001</v>
      </c>
      <c r="V92" s="22">
        <f>IFERROR(VLOOKUP(A87,'Count of Providers as of Jan 18'!A:B,2,FALSE),0)</f>
        <v>0</v>
      </c>
      <c r="W92" s="42">
        <f t="shared" si="7"/>
        <v>-73.045539248229261</v>
      </c>
    </row>
    <row r="93" spans="1:23">
      <c r="A93" s="23" t="s">
        <v>133</v>
      </c>
      <c r="B93" s="24">
        <v>7293</v>
      </c>
      <c r="C93" s="24">
        <v>8046</v>
      </c>
      <c r="D93" s="24">
        <f>VLOOKUP(A93,'[3]2017'!$B:$I,8,FALSE)</f>
        <v>6934</v>
      </c>
      <c r="E93" s="25">
        <f t="shared" si="8"/>
        <v>7424.333333333333</v>
      </c>
      <c r="F93" s="26">
        <v>71</v>
      </c>
      <c r="G93" s="24">
        <v>38</v>
      </c>
      <c r="H93" s="24">
        <f>VLOOKUP(A93,'[3]2017'!$B:$D,3,FALSE)</f>
        <v>43</v>
      </c>
      <c r="I93" s="27">
        <f t="shared" si="9"/>
        <v>50.666666666666664</v>
      </c>
      <c r="J93" s="28" t="s">
        <v>131</v>
      </c>
      <c r="K93" s="29">
        <v>239101</v>
      </c>
      <c r="L93" s="29">
        <v>250525</v>
      </c>
      <c r="M93" s="29">
        <v>252711</v>
      </c>
      <c r="N93" s="29">
        <f t="shared" si="5"/>
        <v>247445.66666666666</v>
      </c>
      <c r="O93" s="24">
        <v>362</v>
      </c>
      <c r="P93" s="24">
        <v>262</v>
      </c>
      <c r="Q93" s="24">
        <v>250</v>
      </c>
      <c r="R93" s="27">
        <f t="shared" si="6"/>
        <v>291.33333333333331</v>
      </c>
      <c r="S93" s="30">
        <v>59.121499622468079</v>
      </c>
      <c r="T93" s="77"/>
      <c r="U93" s="43">
        <v>72.801278012780131</v>
      </c>
      <c r="V93" s="22">
        <f>IFERROR(VLOOKUP(A88,'Count of Providers as of Jan 18'!A:B,2,FALSE),0)</f>
        <v>12</v>
      </c>
      <c r="W93" s="42">
        <f t="shared" si="7"/>
        <v>-13.679778390312052</v>
      </c>
    </row>
    <row r="94" spans="1:23">
      <c r="A94" s="23" t="s">
        <v>134</v>
      </c>
      <c r="B94" s="24">
        <v>8559</v>
      </c>
      <c r="C94" s="24">
        <v>6975</v>
      </c>
      <c r="D94" s="24">
        <f>VLOOKUP(A94,'[3]2017'!$B:$I,8,FALSE)</f>
        <v>7599</v>
      </c>
      <c r="E94" s="25">
        <f t="shared" si="8"/>
        <v>7711</v>
      </c>
      <c r="F94" s="26">
        <v>29</v>
      </c>
      <c r="G94" s="24">
        <v>21</v>
      </c>
      <c r="H94" s="24">
        <f>VLOOKUP(A94,'[3]2017'!$B:$D,3,FALSE)</f>
        <v>37</v>
      </c>
      <c r="I94" s="27">
        <f t="shared" si="9"/>
        <v>29</v>
      </c>
      <c r="J94" s="28" t="s">
        <v>132</v>
      </c>
      <c r="K94" s="29">
        <v>184127</v>
      </c>
      <c r="L94" s="29">
        <v>186889</v>
      </c>
      <c r="M94" s="29">
        <v>187550</v>
      </c>
      <c r="N94" s="29">
        <f t="shared" si="5"/>
        <v>186188.66666666666</v>
      </c>
      <c r="O94" s="24">
        <v>89</v>
      </c>
      <c r="P94" s="24">
        <v>55</v>
      </c>
      <c r="Q94" s="24">
        <v>57</v>
      </c>
      <c r="R94" s="27">
        <f t="shared" si="6"/>
        <v>67</v>
      </c>
      <c r="S94" s="30">
        <v>52.981301939058177</v>
      </c>
      <c r="U94" s="43">
        <v>51.439664714292299</v>
      </c>
      <c r="V94" s="22">
        <f>IFERROR(VLOOKUP(A89,'Count of Providers as of Jan 18'!A:B,2,FALSE),0)</f>
        <v>0</v>
      </c>
      <c r="W94" s="42">
        <f t="shared" si="7"/>
        <v>1.5416372247658785</v>
      </c>
    </row>
    <row r="95" spans="1:23">
      <c r="A95" s="23" t="s">
        <v>135</v>
      </c>
      <c r="B95" s="24">
        <v>6608</v>
      </c>
      <c r="C95" s="24" t="s">
        <v>52</v>
      </c>
      <c r="D95" s="24">
        <f>VLOOKUP(A95,'[3]2017'!$B:$I,8,FALSE)</f>
        <v>0</v>
      </c>
      <c r="E95" s="25">
        <f t="shared" si="8"/>
        <v>3304</v>
      </c>
      <c r="F95" s="26">
        <v>10</v>
      </c>
      <c r="G95" s="24">
        <v>8</v>
      </c>
      <c r="H95" s="24">
        <f>VLOOKUP(A95,'[3]2017'!$B:$D,3,FALSE)</f>
        <v>6</v>
      </c>
      <c r="I95" s="27">
        <f t="shared" si="9"/>
        <v>8</v>
      </c>
      <c r="J95" s="28" t="s">
        <v>133</v>
      </c>
      <c r="K95" s="29">
        <v>530093</v>
      </c>
      <c r="L95" s="29">
        <v>546270</v>
      </c>
      <c r="M95" s="29">
        <v>829850</v>
      </c>
      <c r="N95" s="29">
        <f t="shared" si="5"/>
        <v>635404.33333333337</v>
      </c>
      <c r="O95" s="24">
        <v>21</v>
      </c>
      <c r="P95" s="24">
        <v>14</v>
      </c>
      <c r="Q95" s="24">
        <v>11</v>
      </c>
      <c r="R95" s="27">
        <f t="shared" si="6"/>
        <v>15.333333333333334</v>
      </c>
      <c r="S95" s="30">
        <v>40.3150872079785</v>
      </c>
      <c r="U95" s="43">
        <v>83.592336316762328</v>
      </c>
      <c r="V95" s="22">
        <f>IFERROR(VLOOKUP(A90,'Count of Providers as of Jan 18'!A:B,2,FALSE),0)</f>
        <v>0</v>
      </c>
      <c r="W95" s="42">
        <f t="shared" si="7"/>
        <v>-43.277249108783828</v>
      </c>
    </row>
    <row r="96" spans="1:23">
      <c r="A96" s="23" t="s">
        <v>136</v>
      </c>
      <c r="B96" s="24">
        <v>4152</v>
      </c>
      <c r="C96" s="24">
        <v>4501</v>
      </c>
      <c r="D96" s="24">
        <f>VLOOKUP(A96,'[3]2017'!$B:$I,8,FALSE)</f>
        <v>4170</v>
      </c>
      <c r="E96" s="25">
        <f t="shared" si="8"/>
        <v>4274.333333333333</v>
      </c>
      <c r="F96" s="26">
        <v>53</v>
      </c>
      <c r="G96" s="24">
        <v>25</v>
      </c>
      <c r="H96" s="24">
        <f>VLOOKUP(A96,'[3]2017'!$B:$D,3,FALSE)</f>
        <v>43</v>
      </c>
      <c r="I96" s="27">
        <f t="shared" si="9"/>
        <v>40.333333333333336</v>
      </c>
      <c r="J96" s="28" t="s">
        <v>134</v>
      </c>
      <c r="K96" s="29">
        <v>199306</v>
      </c>
      <c r="L96" s="29">
        <v>186613</v>
      </c>
      <c r="M96" s="29">
        <v>209590</v>
      </c>
      <c r="N96" s="29">
        <f t="shared" si="5"/>
        <v>198503</v>
      </c>
      <c r="O96" s="24">
        <v>145</v>
      </c>
      <c r="P96" s="24">
        <v>119</v>
      </c>
      <c r="Q96" s="24">
        <v>118</v>
      </c>
      <c r="R96" s="27">
        <f t="shared" si="6"/>
        <v>127.33333333333333</v>
      </c>
      <c r="S96" s="30">
        <v>66.285514060945829</v>
      </c>
      <c r="U96" s="43">
        <v>65.676715493940179</v>
      </c>
      <c r="V96" s="22">
        <f>IFERROR(VLOOKUP(A91,'Count of Providers as of Jan 18'!A:B,2,FALSE),0)</f>
        <v>7</v>
      </c>
      <c r="W96" s="42">
        <f t="shared" si="7"/>
        <v>0.60879856700564972</v>
      </c>
    </row>
    <row r="97" spans="1:23">
      <c r="A97" s="23" t="s">
        <v>137</v>
      </c>
      <c r="B97" s="24">
        <v>7258</v>
      </c>
      <c r="C97" s="24">
        <v>4893</v>
      </c>
      <c r="D97" s="24">
        <f>VLOOKUP(A97,'[3]2017'!$B:$I,8,FALSE)</f>
        <v>6244</v>
      </c>
      <c r="E97" s="25">
        <f t="shared" si="8"/>
        <v>6131.666666666667</v>
      </c>
      <c r="F97" s="26">
        <v>24</v>
      </c>
      <c r="G97" s="24">
        <v>23</v>
      </c>
      <c r="H97" s="24">
        <f>VLOOKUP(A97,'[3]2017'!$B:$D,3,FALSE)</f>
        <v>28</v>
      </c>
      <c r="I97" s="27">
        <f t="shared" si="9"/>
        <v>25</v>
      </c>
      <c r="J97" s="28" t="s">
        <v>285</v>
      </c>
      <c r="K97" s="29">
        <v>288548</v>
      </c>
      <c r="L97" s="29">
        <v>254236</v>
      </c>
      <c r="M97" s="29">
        <v>311418</v>
      </c>
      <c r="N97" s="29">
        <f t="shared" si="5"/>
        <v>284734</v>
      </c>
      <c r="O97" s="24">
        <v>33</v>
      </c>
      <c r="P97" s="24">
        <v>32</v>
      </c>
      <c r="Q97" s="24">
        <v>21</v>
      </c>
      <c r="R97" s="27">
        <f t="shared" si="6"/>
        <v>28.666666666666668</v>
      </c>
      <c r="S97" s="30">
        <v>53.769514527734771</v>
      </c>
      <c r="U97" s="43">
        <v>66.634141776341707</v>
      </c>
      <c r="V97" s="22">
        <f>IFERROR(VLOOKUP(A92,'Count of Providers as of Jan 18'!A:B,2,FALSE),0)</f>
        <v>2</v>
      </c>
      <c r="W97" s="42">
        <f t="shared" si="7"/>
        <v>-12.864627248606936</v>
      </c>
    </row>
    <row r="98" spans="1:23">
      <c r="A98" s="23" t="s">
        <v>138</v>
      </c>
      <c r="B98" s="24">
        <v>3228</v>
      </c>
      <c r="C98" s="24" t="s">
        <v>52</v>
      </c>
      <c r="D98" s="24">
        <f>VLOOKUP(A98,'[3]2017'!$B:$I,8,FALSE)</f>
        <v>3611</v>
      </c>
      <c r="E98" s="25">
        <f t="shared" si="8"/>
        <v>3419.5</v>
      </c>
      <c r="F98" s="26">
        <v>10</v>
      </c>
      <c r="G98" s="24">
        <v>4</v>
      </c>
      <c r="H98" s="24">
        <f>VLOOKUP(A98,'[3]2017'!$B:$D,3,FALSE)</f>
        <v>11</v>
      </c>
      <c r="I98" s="27">
        <f t="shared" si="9"/>
        <v>8.3333333333333339</v>
      </c>
      <c r="J98" s="28" t="s">
        <v>136</v>
      </c>
      <c r="K98" s="29">
        <v>484301</v>
      </c>
      <c r="L98" s="29">
        <v>530499</v>
      </c>
      <c r="M98" s="29">
        <v>469614</v>
      </c>
      <c r="N98" s="29">
        <f t="shared" si="5"/>
        <v>494804.66666666669</v>
      </c>
      <c r="O98" s="24">
        <v>101</v>
      </c>
      <c r="P98" s="24">
        <v>49</v>
      </c>
      <c r="Q98" s="24">
        <v>48</v>
      </c>
      <c r="R98" s="27">
        <f t="shared" si="6"/>
        <v>66</v>
      </c>
      <c r="S98" s="30">
        <v>45.906516696573156</v>
      </c>
      <c r="U98" s="43">
        <v>65.19260761072988</v>
      </c>
      <c r="V98" s="22">
        <f>IFERROR(VLOOKUP(A93,'Count of Providers as of Jan 18'!A:B,2,FALSE),0)</f>
        <v>4</v>
      </c>
      <c r="W98" s="42">
        <f t="shared" si="7"/>
        <v>-19.286090914156723</v>
      </c>
    </row>
    <row r="99" spans="1:23">
      <c r="A99" s="23" t="s">
        <v>139</v>
      </c>
      <c r="B99" s="24">
        <v>7821</v>
      </c>
      <c r="C99" s="24">
        <v>8293</v>
      </c>
      <c r="D99" s="24">
        <f>VLOOKUP(A99,'[3]2017'!$B:$I,8,FALSE)</f>
        <v>7616</v>
      </c>
      <c r="E99" s="25">
        <f t="shared" si="8"/>
        <v>7910</v>
      </c>
      <c r="F99" s="26">
        <v>48</v>
      </c>
      <c r="G99" s="24">
        <v>43</v>
      </c>
      <c r="H99" s="24">
        <f>VLOOKUP(A99,'[3]2017'!$B:$D,3,FALSE)</f>
        <v>45</v>
      </c>
      <c r="I99" s="27">
        <f t="shared" si="9"/>
        <v>45.333333333333336</v>
      </c>
      <c r="J99" s="28" t="s">
        <v>137</v>
      </c>
      <c r="K99" s="29">
        <v>406387</v>
      </c>
      <c r="L99" s="29">
        <v>397791</v>
      </c>
      <c r="M99" s="29">
        <v>380919</v>
      </c>
      <c r="N99" s="29">
        <f t="shared" si="5"/>
        <v>395032.33333333331</v>
      </c>
      <c r="O99" s="24">
        <v>55</v>
      </c>
      <c r="P99" s="24">
        <v>35</v>
      </c>
      <c r="Q99" s="24">
        <v>42</v>
      </c>
      <c r="R99" s="27">
        <f t="shared" si="6"/>
        <v>44</v>
      </c>
      <c r="S99" s="30">
        <v>46.869554616384917</v>
      </c>
      <c r="U99" s="43">
        <v>81.71811432058584</v>
      </c>
      <c r="V99" s="22">
        <f>IFERROR(VLOOKUP(A94,'Count of Providers as of Jan 18'!A:B,2,FALSE),0)</f>
        <v>6</v>
      </c>
      <c r="W99" s="42">
        <f t="shared" si="7"/>
        <v>-34.848559704200923</v>
      </c>
    </row>
    <row r="100" spans="1:23">
      <c r="A100" s="23" t="s">
        <v>140</v>
      </c>
      <c r="B100" s="24" t="s">
        <v>52</v>
      </c>
      <c r="C100" s="24" t="s">
        <v>52</v>
      </c>
      <c r="D100" s="24">
        <f>VLOOKUP(A100,'[3]2017'!$B:$I,8,FALSE)</f>
        <v>0</v>
      </c>
      <c r="E100" s="25">
        <f t="shared" si="8"/>
        <v>0</v>
      </c>
      <c r="F100" s="26">
        <v>2</v>
      </c>
      <c r="G100" s="24">
        <v>21</v>
      </c>
      <c r="H100" s="24">
        <f>VLOOKUP(A100,'[3]2017'!$B:$D,3,FALSE)</f>
        <v>7</v>
      </c>
      <c r="I100" s="27">
        <f t="shared" si="9"/>
        <v>10</v>
      </c>
      <c r="J100" s="28" t="s">
        <v>138</v>
      </c>
      <c r="K100" s="29">
        <v>360701</v>
      </c>
      <c r="L100" s="29">
        <v>381207</v>
      </c>
      <c r="M100" s="29">
        <v>0</v>
      </c>
      <c r="N100" s="29">
        <f t="shared" si="5"/>
        <v>247302.66666666666</v>
      </c>
      <c r="O100" s="24">
        <v>13</v>
      </c>
      <c r="P100" s="24">
        <v>12</v>
      </c>
      <c r="Q100" s="24">
        <v>7</v>
      </c>
      <c r="R100" s="27">
        <f t="shared" si="6"/>
        <v>10.666666666666666</v>
      </c>
      <c r="S100" s="30">
        <v>74.243804195804202</v>
      </c>
      <c r="T100" s="77" t="s">
        <v>268</v>
      </c>
      <c r="U100" s="43">
        <v>68.799420462875702</v>
      </c>
      <c r="V100" s="22">
        <f>IFERROR(VLOOKUP(A95,'Count of Providers as of Jan 18'!A:B,2,FALSE),0)</f>
        <v>0</v>
      </c>
      <c r="W100" s="42">
        <f t="shared" si="7"/>
        <v>5.4443837329285003</v>
      </c>
    </row>
    <row r="101" spans="1:23">
      <c r="A101" s="23" t="s">
        <v>141</v>
      </c>
      <c r="B101" s="24">
        <v>8385</v>
      </c>
      <c r="C101" s="24">
        <v>9117</v>
      </c>
      <c r="D101" s="24">
        <f>VLOOKUP(A101,'[3]2017'!$B:$I,8,FALSE)</f>
        <v>6965</v>
      </c>
      <c r="E101" s="25">
        <f t="shared" si="8"/>
        <v>8155.666666666667</v>
      </c>
      <c r="F101" s="26">
        <v>13</v>
      </c>
      <c r="G101" s="24">
        <v>10</v>
      </c>
      <c r="H101" s="24">
        <f>VLOOKUP(A101,'[3]2017'!$B:$D,3,FALSE)</f>
        <v>11</v>
      </c>
      <c r="I101" s="27">
        <f t="shared" si="9"/>
        <v>11.333333333333334</v>
      </c>
      <c r="J101" s="28" t="s">
        <v>139</v>
      </c>
      <c r="K101" s="29">
        <v>185734</v>
      </c>
      <c r="L101" s="29">
        <v>189586</v>
      </c>
      <c r="M101" s="29">
        <v>183250</v>
      </c>
      <c r="N101" s="29">
        <f t="shared" si="5"/>
        <v>186190</v>
      </c>
      <c r="O101" s="24">
        <v>121</v>
      </c>
      <c r="P101" s="24">
        <v>72</v>
      </c>
      <c r="Q101" s="24">
        <v>83</v>
      </c>
      <c r="R101" s="27">
        <f t="shared" si="6"/>
        <v>92</v>
      </c>
      <c r="S101" s="30">
        <v>35.341879746394483</v>
      </c>
      <c r="T101" s="77"/>
      <c r="U101" s="43">
        <v>92.803533141736239</v>
      </c>
      <c r="V101" s="22">
        <f>IFERROR(VLOOKUP(A96,'Count of Providers as of Jan 18'!A:B,2,FALSE),0)</f>
        <v>10</v>
      </c>
      <c r="W101" s="42">
        <f t="shared" si="7"/>
        <v>-57.461653395341756</v>
      </c>
    </row>
    <row r="102" spans="1:23">
      <c r="A102" s="23" t="s">
        <v>142</v>
      </c>
      <c r="B102" s="24">
        <v>5487</v>
      </c>
      <c r="C102" s="24">
        <v>5268</v>
      </c>
      <c r="D102" s="24">
        <f>VLOOKUP(A102,'[3]2017'!$B:$I,8,FALSE)</f>
        <v>5547</v>
      </c>
      <c r="E102" s="25">
        <f t="shared" si="8"/>
        <v>5434</v>
      </c>
      <c r="F102" s="26">
        <v>86</v>
      </c>
      <c r="G102" s="24">
        <v>96</v>
      </c>
      <c r="H102" s="24">
        <f>VLOOKUP(A102,'[3]2017'!$B:$D,3,FALSE)</f>
        <v>73</v>
      </c>
      <c r="I102" s="27">
        <f t="shared" si="9"/>
        <v>85</v>
      </c>
      <c r="J102" s="28" t="s">
        <v>140</v>
      </c>
      <c r="K102" s="29">
        <v>381459</v>
      </c>
      <c r="L102" s="29">
        <v>445600</v>
      </c>
      <c r="M102" s="29">
        <v>425150</v>
      </c>
      <c r="N102" s="29">
        <f t="shared" si="5"/>
        <v>417403</v>
      </c>
      <c r="O102" s="24">
        <v>57</v>
      </c>
      <c r="P102" s="24">
        <v>33</v>
      </c>
      <c r="Q102" s="24">
        <v>33</v>
      </c>
      <c r="R102" s="27">
        <f t="shared" si="6"/>
        <v>41</v>
      </c>
      <c r="S102" s="30">
        <v>69.618563802307563</v>
      </c>
      <c r="U102" s="43">
        <v>60.904965296316071</v>
      </c>
      <c r="V102" s="22">
        <f>IFERROR(VLOOKUP(A97,'Count of Providers as of Jan 18'!A:B,2,FALSE),0)</f>
        <v>2</v>
      </c>
      <c r="W102" s="42">
        <f t="shared" si="7"/>
        <v>8.7135985059914915</v>
      </c>
    </row>
    <row r="103" spans="1:23">
      <c r="A103" s="23" t="s">
        <v>143</v>
      </c>
      <c r="B103" s="24">
        <v>7235</v>
      </c>
      <c r="C103" s="24" t="s">
        <v>52</v>
      </c>
      <c r="D103" s="24">
        <f>VLOOKUP(A103,'[3]2017'!$B:$I,8,FALSE)</f>
        <v>5365</v>
      </c>
      <c r="E103" s="25">
        <f t="shared" si="8"/>
        <v>6300</v>
      </c>
      <c r="F103" s="26">
        <v>16</v>
      </c>
      <c r="G103" s="24">
        <v>8</v>
      </c>
      <c r="H103" s="24">
        <f>VLOOKUP(A103,'[3]2017'!$B:$D,3,FALSE)</f>
        <v>10</v>
      </c>
      <c r="I103" s="27">
        <f t="shared" si="9"/>
        <v>11.333333333333334</v>
      </c>
      <c r="J103" s="28" t="s">
        <v>141</v>
      </c>
      <c r="K103" s="29">
        <v>173298</v>
      </c>
      <c r="L103" s="29">
        <v>165856</v>
      </c>
      <c r="M103" s="29">
        <v>175000</v>
      </c>
      <c r="N103" s="29">
        <f t="shared" si="5"/>
        <v>171384.66666666666</v>
      </c>
      <c r="O103" s="24">
        <v>33</v>
      </c>
      <c r="P103" s="24">
        <v>15</v>
      </c>
      <c r="Q103" s="24">
        <v>25</v>
      </c>
      <c r="R103" s="27">
        <f t="shared" si="6"/>
        <v>24.333333333333332</v>
      </c>
      <c r="S103" s="30">
        <v>47.312066203950884</v>
      </c>
      <c r="T103" s="77" t="s">
        <v>268</v>
      </c>
      <c r="U103" s="43">
        <v>71.372538878609234</v>
      </c>
      <c r="V103" s="22">
        <f>IFERROR(VLOOKUP(A98,'Count of Providers as of Jan 18'!A:B,2,FALSE),0)</f>
        <v>1</v>
      </c>
      <c r="W103" s="42">
        <f t="shared" si="7"/>
        <v>-24.060472674658349</v>
      </c>
    </row>
    <row r="104" spans="1:23">
      <c r="A104" s="23" t="s">
        <v>144</v>
      </c>
      <c r="B104" s="24">
        <v>2421</v>
      </c>
      <c r="C104" s="24">
        <v>3182</v>
      </c>
      <c r="D104" s="24">
        <f>VLOOKUP(A104,'[3]2017'!$B:$I,8,FALSE)</f>
        <v>2840</v>
      </c>
      <c r="E104" s="25">
        <f t="shared" si="8"/>
        <v>2814.3333333333335</v>
      </c>
      <c r="F104" s="26">
        <v>36</v>
      </c>
      <c r="G104" s="24">
        <v>26</v>
      </c>
      <c r="H104" s="24">
        <f>VLOOKUP(A104,'[3]2017'!$B:$D,3,FALSE)</f>
        <v>33</v>
      </c>
      <c r="I104" s="27">
        <f t="shared" si="9"/>
        <v>31.666666666666668</v>
      </c>
      <c r="J104" s="28" t="s">
        <v>142</v>
      </c>
      <c r="K104" s="29">
        <v>497500</v>
      </c>
      <c r="L104" s="29">
        <v>500362</v>
      </c>
      <c r="M104" s="29">
        <v>539754</v>
      </c>
      <c r="N104" s="29">
        <f t="shared" si="5"/>
        <v>512538.66666666669</v>
      </c>
      <c r="O104" s="24">
        <v>96</v>
      </c>
      <c r="P104" s="24">
        <v>63</v>
      </c>
      <c r="Q104" s="24">
        <v>66</v>
      </c>
      <c r="R104" s="27">
        <f t="shared" si="6"/>
        <v>75</v>
      </c>
      <c r="S104" s="30">
        <v>43.063624869849768</v>
      </c>
      <c r="T104" s="77"/>
      <c r="U104" s="43">
        <v>45.677541186429643</v>
      </c>
      <c r="V104" s="22">
        <f>IFERROR(VLOOKUP(A99,'Count of Providers as of Jan 18'!A:B,2,FALSE),0)</f>
        <v>4</v>
      </c>
      <c r="W104" s="42">
        <f t="shared" si="7"/>
        <v>-2.6139163165798749</v>
      </c>
    </row>
    <row r="105" spans="1:23">
      <c r="A105" s="23" t="s">
        <v>145</v>
      </c>
      <c r="B105" s="24">
        <v>2735</v>
      </c>
      <c r="C105" s="24">
        <v>3163</v>
      </c>
      <c r="D105" s="24">
        <f>VLOOKUP(A105,'[3]2017'!$B:$I,8,FALSE)</f>
        <v>3598</v>
      </c>
      <c r="E105" s="25">
        <f t="shared" si="8"/>
        <v>3165.3333333333335</v>
      </c>
      <c r="F105" s="26">
        <v>133</v>
      </c>
      <c r="G105" s="24">
        <v>112</v>
      </c>
      <c r="H105" s="24">
        <f>VLOOKUP(A105,'[3]2017'!$B:$D,3,FALSE)</f>
        <v>141</v>
      </c>
      <c r="I105" s="27">
        <f t="shared" si="9"/>
        <v>128.66666666666666</v>
      </c>
      <c r="J105" s="28" t="s">
        <v>286</v>
      </c>
      <c r="K105" s="29">
        <v>166244</v>
      </c>
      <c r="L105" s="29">
        <v>171942</v>
      </c>
      <c r="M105" s="29">
        <v>0</v>
      </c>
      <c r="N105" s="29">
        <f t="shared" si="5"/>
        <v>112728.66666666667</v>
      </c>
      <c r="O105" s="24">
        <v>24</v>
      </c>
      <c r="P105" s="24">
        <v>33</v>
      </c>
      <c r="Q105" s="24">
        <v>9</v>
      </c>
      <c r="R105" s="27">
        <f t="shared" si="6"/>
        <v>22</v>
      </c>
      <c r="S105" s="30">
        <v>41.442972636815924</v>
      </c>
      <c r="U105" s="43">
        <v>63.463013698630142</v>
      </c>
      <c r="V105" s="22">
        <f>IFERROR(VLOOKUP(A100,'Count of Providers as of Jan 18'!A:B,2,FALSE),0)</f>
        <v>0</v>
      </c>
      <c r="W105" s="42">
        <f t="shared" si="7"/>
        <v>-22.020041061814219</v>
      </c>
    </row>
    <row r="106" spans="1:23">
      <c r="A106" s="23" t="str">
        <f>J111</f>
        <v>Pulmonary Medicine: General and Critical Care</v>
      </c>
      <c r="F106" s="26"/>
      <c r="I106" s="27"/>
      <c r="J106" s="28" t="s">
        <v>144</v>
      </c>
      <c r="K106" s="29">
        <v>507000</v>
      </c>
      <c r="L106" s="29">
        <v>389332</v>
      </c>
      <c r="M106" s="29">
        <v>442987</v>
      </c>
      <c r="N106" s="29">
        <f t="shared" si="5"/>
        <v>446439.66666666669</v>
      </c>
      <c r="O106" s="24">
        <v>31</v>
      </c>
      <c r="P106" s="24">
        <v>15</v>
      </c>
      <c r="Q106" s="24">
        <v>19</v>
      </c>
      <c r="R106" s="27">
        <f t="shared" si="6"/>
        <v>21.666666666666668</v>
      </c>
      <c r="S106" s="30">
        <v>0</v>
      </c>
      <c r="U106" s="43">
        <v>91.185267321985151</v>
      </c>
      <c r="V106" s="22">
        <f>IFERROR(VLOOKUP(A101,'Count of Providers as of Jan 18'!A:B,2,FALSE),0)</f>
        <v>3</v>
      </c>
      <c r="W106" s="42">
        <f t="shared" si="7"/>
        <v>-91.185267321985151</v>
      </c>
    </row>
    <row r="107" spans="1:23">
      <c r="A107" s="23" t="s">
        <v>146</v>
      </c>
      <c r="B107" s="24">
        <v>5429</v>
      </c>
      <c r="C107" s="24">
        <v>4527</v>
      </c>
      <c r="D107" s="24">
        <f>VLOOKUP(A107,'[3]2017'!$B:$I,8,FALSE)</f>
        <v>7745</v>
      </c>
      <c r="E107" s="25">
        <f t="shared" ref="E107:E127" si="10">IFERROR(AVERAGE(B107:D107),0)</f>
        <v>5900.333333333333</v>
      </c>
      <c r="F107" s="26">
        <v>37</v>
      </c>
      <c r="G107" s="24">
        <v>14</v>
      </c>
      <c r="H107" s="24">
        <f>VLOOKUP(A107,'[3]2017'!$B:$D,3,FALSE)</f>
        <v>19</v>
      </c>
      <c r="I107" s="27">
        <f t="shared" ref="I107:I127" si="11">AVERAGE(F107:H107)</f>
        <v>23.333333333333332</v>
      </c>
      <c r="J107" s="28" t="s">
        <v>145</v>
      </c>
      <c r="K107" s="29">
        <v>208287</v>
      </c>
      <c r="L107" s="29">
        <v>197791</v>
      </c>
      <c r="M107" s="29">
        <v>212387</v>
      </c>
      <c r="N107" s="29">
        <f t="shared" si="5"/>
        <v>206155</v>
      </c>
      <c r="O107" s="24">
        <v>155</v>
      </c>
      <c r="P107" s="24">
        <v>126</v>
      </c>
      <c r="Q107" s="24">
        <v>125</v>
      </c>
      <c r="R107" s="27">
        <f t="shared" si="6"/>
        <v>135.33333333333334</v>
      </c>
      <c r="S107" s="30">
        <v>68.600383271333556</v>
      </c>
      <c r="U107" s="43">
        <v>63.463013698630142</v>
      </c>
      <c r="V107" s="22">
        <f>IFERROR(VLOOKUP(A102,'Count of Providers as of Jan 18'!A:B,2,FALSE),0)</f>
        <v>12</v>
      </c>
      <c r="W107" s="42">
        <f t="shared" si="7"/>
        <v>5.1373695727034132</v>
      </c>
    </row>
    <row r="108" spans="1:23">
      <c r="A108" s="23" t="s">
        <v>147</v>
      </c>
      <c r="B108" s="24">
        <v>4850</v>
      </c>
      <c r="C108" s="24">
        <v>6360</v>
      </c>
      <c r="D108" s="24">
        <f>VLOOKUP(A108,'[3]2017'!$B:$I,8,FALSE)</f>
        <v>6559</v>
      </c>
      <c r="E108" s="25">
        <f t="shared" si="10"/>
        <v>5923</v>
      </c>
      <c r="F108" s="26">
        <v>67</v>
      </c>
      <c r="G108" s="24">
        <v>70</v>
      </c>
      <c r="H108" s="24">
        <f>VLOOKUP(A108,'[3]2017'!$B:$D,3,FALSE)</f>
        <v>67</v>
      </c>
      <c r="I108" s="27">
        <f t="shared" si="11"/>
        <v>68</v>
      </c>
      <c r="J108" s="28" t="s">
        <v>287</v>
      </c>
      <c r="K108" s="29">
        <v>184795</v>
      </c>
      <c r="L108" s="29" t="s">
        <v>52</v>
      </c>
      <c r="M108" s="29">
        <v>242050</v>
      </c>
      <c r="N108" s="29">
        <f t="shared" si="5"/>
        <v>213422.5</v>
      </c>
      <c r="O108" s="24">
        <v>18</v>
      </c>
      <c r="P108" s="24">
        <v>8</v>
      </c>
      <c r="Q108" s="24">
        <v>11</v>
      </c>
      <c r="R108" s="27">
        <f t="shared" si="6"/>
        <v>12.333333333333334</v>
      </c>
      <c r="S108" s="30">
        <v>62.367205090553114</v>
      </c>
      <c r="U108" s="43">
        <v>63.463013698630142</v>
      </c>
      <c r="V108" s="22">
        <f>IFERROR(VLOOKUP(A103,'Count of Providers as of Jan 18'!A:B,2,FALSE),0)</f>
        <v>0</v>
      </c>
      <c r="W108" s="42">
        <f t="shared" si="7"/>
        <v>-1.0958086080770286</v>
      </c>
    </row>
    <row r="109" spans="1:23">
      <c r="A109" s="23" t="s">
        <v>148</v>
      </c>
      <c r="B109" s="24">
        <v>5617</v>
      </c>
      <c r="C109" s="24">
        <v>6917</v>
      </c>
      <c r="D109" s="24">
        <f>VLOOKUP(A109,'[3]2017'!$B:$I,8,FALSE)</f>
        <v>7211</v>
      </c>
      <c r="E109" s="25">
        <f t="shared" si="10"/>
        <v>6581.666666666667</v>
      </c>
      <c r="F109" s="26">
        <v>24</v>
      </c>
      <c r="G109" s="24">
        <v>33</v>
      </c>
      <c r="H109" s="24">
        <f>VLOOKUP(A109,'[3]2017'!$B:$D,3,FALSE)</f>
        <v>34</v>
      </c>
      <c r="I109" s="27">
        <f t="shared" si="11"/>
        <v>30.333333333333332</v>
      </c>
      <c r="J109" s="28" t="s">
        <v>146</v>
      </c>
      <c r="K109" s="29">
        <v>201070</v>
      </c>
      <c r="L109" s="29">
        <v>201150</v>
      </c>
      <c r="M109" s="29">
        <v>205296</v>
      </c>
      <c r="N109" s="29">
        <f t="shared" si="5"/>
        <v>202505.33333333334</v>
      </c>
      <c r="O109" s="24">
        <v>94</v>
      </c>
      <c r="P109" s="24">
        <v>48</v>
      </c>
      <c r="Q109" s="24">
        <v>85</v>
      </c>
      <c r="R109" s="27">
        <f t="shared" si="6"/>
        <v>75.666666666666671</v>
      </c>
      <c r="S109" s="30">
        <v>40.783940917661845</v>
      </c>
      <c r="U109" s="43">
        <v>40.035332668471291</v>
      </c>
      <c r="V109" s="22">
        <f>IFERROR(VLOOKUP(A104,'Count of Providers as of Jan 18'!A:B,2,FALSE),0)</f>
        <v>20</v>
      </c>
      <c r="W109" s="42">
        <f t="shared" si="7"/>
        <v>0.74860824919055347</v>
      </c>
    </row>
    <row r="110" spans="1:23">
      <c r="A110" s="23" t="s">
        <v>149</v>
      </c>
      <c r="B110" s="24">
        <v>10453</v>
      </c>
      <c r="C110" s="24">
        <v>9827</v>
      </c>
      <c r="D110" s="24">
        <f>VLOOKUP(A110,'[3]2017'!$B:$I,8,FALSE)</f>
        <v>8809</v>
      </c>
      <c r="E110" s="25">
        <f t="shared" si="10"/>
        <v>9696.3333333333339</v>
      </c>
      <c r="F110" s="26">
        <v>107</v>
      </c>
      <c r="G110" s="24">
        <v>85</v>
      </c>
      <c r="H110" s="24">
        <f>VLOOKUP(A110,'[3]2017'!$B:$D,3,FALSE)</f>
        <v>87</v>
      </c>
      <c r="I110" s="27">
        <f t="shared" si="11"/>
        <v>93</v>
      </c>
      <c r="J110" s="28" t="s">
        <v>147</v>
      </c>
      <c r="K110" s="29">
        <v>184900</v>
      </c>
      <c r="L110" s="29">
        <v>202229</v>
      </c>
      <c r="M110" s="29">
        <v>209375</v>
      </c>
      <c r="N110" s="29">
        <f t="shared" si="5"/>
        <v>198834.66666666666</v>
      </c>
      <c r="O110" s="24">
        <v>335</v>
      </c>
      <c r="P110" s="24">
        <v>237</v>
      </c>
      <c r="Q110" s="24">
        <v>337</v>
      </c>
      <c r="R110" s="27">
        <f t="shared" si="6"/>
        <v>303</v>
      </c>
      <c r="S110" s="30">
        <v>37.463569392912831</v>
      </c>
      <c r="U110" s="43">
        <v>39.435405141555485</v>
      </c>
      <c r="V110" s="22">
        <f>IFERROR(VLOOKUP(A105,'Count of Providers as of Jan 18'!A:B,2,FALSE),0)</f>
        <v>50</v>
      </c>
      <c r="W110" s="42">
        <f t="shared" si="7"/>
        <v>-1.9718357486426541</v>
      </c>
    </row>
    <row r="111" spans="1:23">
      <c r="A111" s="23" t="s">
        <v>150</v>
      </c>
      <c r="B111" s="24">
        <v>7392</v>
      </c>
      <c r="C111" s="24">
        <v>7995</v>
      </c>
      <c r="D111" s="24">
        <f>VLOOKUP(A111,'[3]2017'!$B:$I,8,FALSE)</f>
        <v>7605</v>
      </c>
      <c r="E111" s="25">
        <f t="shared" si="10"/>
        <v>7664</v>
      </c>
      <c r="F111" s="26">
        <v>555</v>
      </c>
      <c r="G111" s="24">
        <v>438</v>
      </c>
      <c r="H111" s="24">
        <f>VLOOKUP(A111,'[3]2017'!$B:$D,3,FALSE)</f>
        <v>457</v>
      </c>
      <c r="I111" s="27">
        <f t="shared" si="11"/>
        <v>483.33333333333331</v>
      </c>
      <c r="J111" s="28" t="s">
        <v>148</v>
      </c>
      <c r="K111" s="29" t="s">
        <v>52</v>
      </c>
      <c r="L111" s="29" t="s">
        <v>52</v>
      </c>
      <c r="M111" s="29">
        <v>0</v>
      </c>
      <c r="N111" s="29">
        <f t="shared" si="5"/>
        <v>0</v>
      </c>
      <c r="O111" s="24">
        <v>7</v>
      </c>
      <c r="P111" s="24" t="s">
        <v>52</v>
      </c>
      <c r="Q111" s="24">
        <v>6</v>
      </c>
      <c r="R111" s="27">
        <f t="shared" si="6"/>
        <v>6.5</v>
      </c>
      <c r="S111" s="30">
        <v>36.356932966023869</v>
      </c>
      <c r="U111" s="43">
        <v>38.893576766625678</v>
      </c>
      <c r="V111" s="22">
        <f>IFERROR(VLOOKUP(A106,'Count of Providers as of Jan 18'!A:B,2,FALSE),0)</f>
        <v>0</v>
      </c>
      <c r="W111" s="42">
        <f t="shared" si="7"/>
        <v>-2.5366438006018086</v>
      </c>
    </row>
    <row r="112" spans="1:23">
      <c r="A112" s="23" t="s">
        <v>151</v>
      </c>
      <c r="B112" s="24">
        <v>7686</v>
      </c>
      <c r="C112" s="24">
        <v>8489</v>
      </c>
      <c r="D112" s="24">
        <f>VLOOKUP(A112,'[3]2017'!$B:$I,8,FALSE)</f>
        <v>8080</v>
      </c>
      <c r="E112" s="25">
        <f t="shared" si="10"/>
        <v>8085</v>
      </c>
      <c r="F112" s="26">
        <v>124</v>
      </c>
      <c r="G112" s="24">
        <v>69</v>
      </c>
      <c r="H112" s="24">
        <f>VLOOKUP(A112,'[3]2017'!$B:$D,3,FALSE)</f>
        <v>72</v>
      </c>
      <c r="I112" s="27">
        <f t="shared" si="11"/>
        <v>88.333333333333329</v>
      </c>
      <c r="J112" s="28" t="s">
        <v>149</v>
      </c>
      <c r="K112" s="29">
        <v>221997</v>
      </c>
      <c r="L112" s="29">
        <v>239542</v>
      </c>
      <c r="M112" s="29">
        <v>254634</v>
      </c>
      <c r="N112" s="29">
        <f t="shared" si="5"/>
        <v>238724.33333333334</v>
      </c>
      <c r="O112" s="24">
        <v>130</v>
      </c>
      <c r="P112" s="24">
        <v>52</v>
      </c>
      <c r="Q112" s="24">
        <v>66</v>
      </c>
      <c r="R112" s="27">
        <f t="shared" si="6"/>
        <v>82.666666666666671</v>
      </c>
      <c r="S112" s="30">
        <v>42.295248041775459</v>
      </c>
      <c r="U112" s="43">
        <v>45.543016677687163</v>
      </c>
      <c r="V112" s="22">
        <f>IFERROR(VLOOKUP(A107,'Count of Providers as of Jan 18'!A:B,2,FALSE),0)</f>
        <v>1</v>
      </c>
      <c r="W112" s="42">
        <f t="shared" si="7"/>
        <v>-3.2477686359117044</v>
      </c>
    </row>
    <row r="113" spans="1:23">
      <c r="A113" s="23" t="s">
        <v>152</v>
      </c>
      <c r="B113" s="24">
        <v>12074</v>
      </c>
      <c r="C113" s="24">
        <v>10913</v>
      </c>
      <c r="D113" s="24">
        <f>VLOOKUP(A113,'[3]2017'!$B:$I,8,FALSE)</f>
        <v>11546</v>
      </c>
      <c r="E113" s="25">
        <f t="shared" si="10"/>
        <v>11511</v>
      </c>
      <c r="F113" s="26">
        <v>44</v>
      </c>
      <c r="G113" s="24">
        <v>54</v>
      </c>
      <c r="H113" s="24">
        <f>VLOOKUP(A113,'[3]2017'!$B:$D,3,FALSE)</f>
        <v>63</v>
      </c>
      <c r="I113" s="27">
        <f t="shared" si="11"/>
        <v>53.666666666666664</v>
      </c>
      <c r="J113" s="28" t="s">
        <v>150</v>
      </c>
      <c r="K113" s="29">
        <v>215143</v>
      </c>
      <c r="L113" s="29">
        <v>216300</v>
      </c>
      <c r="M113" s="29">
        <v>223550</v>
      </c>
      <c r="N113" s="29">
        <f t="shared" si="5"/>
        <v>218331</v>
      </c>
      <c r="O113" s="24">
        <v>170</v>
      </c>
      <c r="P113" s="24">
        <v>166</v>
      </c>
      <c r="Q113" s="24">
        <v>195</v>
      </c>
      <c r="R113" s="27">
        <f t="shared" si="6"/>
        <v>177</v>
      </c>
      <c r="S113" s="30">
        <v>47.29769715682491</v>
      </c>
      <c r="U113" s="43">
        <v>47.727690040008426</v>
      </c>
      <c r="V113" s="22">
        <f>IFERROR(VLOOKUP(A108,'Count of Providers as of Jan 18'!A:B,2,FALSE),0)</f>
        <v>29</v>
      </c>
      <c r="W113" s="42">
        <f t="shared" si="7"/>
        <v>-0.42999288318351603</v>
      </c>
    </row>
    <row r="114" spans="1:23">
      <c r="A114" s="23" t="s">
        <v>153</v>
      </c>
      <c r="B114" s="24">
        <v>4970</v>
      </c>
      <c r="C114" s="24">
        <v>5224</v>
      </c>
      <c r="D114" s="24">
        <f>VLOOKUP(A114,'[3]2017'!$B:$I,8,FALSE)</f>
        <v>5357</v>
      </c>
      <c r="E114" s="25">
        <f t="shared" si="10"/>
        <v>5183.666666666667</v>
      </c>
      <c r="F114" s="26">
        <v>40</v>
      </c>
      <c r="G114" s="24">
        <v>44</v>
      </c>
      <c r="H114" s="24">
        <f>VLOOKUP(A114,'[3]2017'!$B:$D,3,FALSE)</f>
        <v>40</v>
      </c>
      <c r="I114" s="27">
        <f t="shared" si="11"/>
        <v>41.333333333333336</v>
      </c>
      <c r="J114" s="28" t="s">
        <v>151</v>
      </c>
      <c r="K114" s="29">
        <v>240448</v>
      </c>
      <c r="L114" s="29">
        <v>234874</v>
      </c>
      <c r="M114" s="29">
        <v>294311</v>
      </c>
      <c r="N114" s="29">
        <f t="shared" si="5"/>
        <v>256544.33333333334</v>
      </c>
      <c r="O114" s="24">
        <v>75</v>
      </c>
      <c r="P114" s="24">
        <v>76</v>
      </c>
      <c r="Q114" s="24">
        <v>60</v>
      </c>
      <c r="R114" s="27">
        <f t="shared" si="6"/>
        <v>70.333333333333329</v>
      </c>
      <c r="S114" s="30">
        <v>50.532283595767723</v>
      </c>
      <c r="U114" s="43">
        <v>56.447132457386367</v>
      </c>
      <c r="V114" s="22">
        <f>IFERROR(VLOOKUP(A109,'Count of Providers as of Jan 18'!A:B,2,FALSE),0)</f>
        <v>0</v>
      </c>
      <c r="W114" s="42">
        <f t="shared" si="7"/>
        <v>-5.9148488616186441</v>
      </c>
    </row>
    <row r="115" spans="1:23">
      <c r="A115" s="23" t="s">
        <v>154</v>
      </c>
      <c r="B115" s="24">
        <v>4230</v>
      </c>
      <c r="C115" s="24">
        <v>4374</v>
      </c>
      <c r="D115" s="24">
        <f>VLOOKUP(A115,'[3]2017'!$B:$I,8,FALSE)</f>
        <v>4167</v>
      </c>
      <c r="E115" s="25">
        <f t="shared" si="10"/>
        <v>4257</v>
      </c>
      <c r="F115" s="26">
        <v>49</v>
      </c>
      <c r="G115" s="24">
        <v>60</v>
      </c>
      <c r="H115" s="24">
        <f>VLOOKUP(A115,'[3]2017'!$B:$D,3,FALSE)</f>
        <v>49</v>
      </c>
      <c r="I115" s="27">
        <f t="shared" si="11"/>
        <v>52.666666666666664</v>
      </c>
      <c r="J115" s="28" t="s">
        <v>152</v>
      </c>
      <c r="K115" s="29">
        <v>381000</v>
      </c>
      <c r="L115" s="29">
        <v>381000</v>
      </c>
      <c r="M115" s="29">
        <v>392865</v>
      </c>
      <c r="N115" s="29">
        <f t="shared" si="5"/>
        <v>384955</v>
      </c>
      <c r="O115" s="24">
        <v>183</v>
      </c>
      <c r="P115" s="24">
        <v>121</v>
      </c>
      <c r="Q115" s="24">
        <v>154</v>
      </c>
      <c r="R115" s="27">
        <f t="shared" si="6"/>
        <v>152.66666666666666</v>
      </c>
      <c r="S115" s="30">
        <v>32.975128492940271</v>
      </c>
      <c r="U115" s="43">
        <v>33.775569572856362</v>
      </c>
      <c r="V115" s="22">
        <f>IFERROR(VLOOKUP(A110,'Count of Providers as of Jan 18'!A:B,2,FALSE),0)</f>
        <v>25</v>
      </c>
      <c r="W115" s="42">
        <f t="shared" si="7"/>
        <v>-0.80044107991609081</v>
      </c>
    </row>
    <row r="116" spans="1:23">
      <c r="A116" s="23" t="s">
        <v>155</v>
      </c>
      <c r="B116" s="24">
        <v>3102</v>
      </c>
      <c r="C116" s="24" t="s">
        <v>52</v>
      </c>
      <c r="D116" s="24">
        <f>VLOOKUP(A116,'[3]2017'!$B:$I,8,FALSE)</f>
        <v>0</v>
      </c>
      <c r="E116" s="25">
        <f t="shared" si="10"/>
        <v>1551</v>
      </c>
      <c r="F116" s="26">
        <v>10</v>
      </c>
      <c r="G116" s="24">
        <v>1</v>
      </c>
      <c r="H116" s="24">
        <f>VLOOKUP(A116,'[3]2017'!$B:$D,3,FALSE)</f>
        <v>5</v>
      </c>
      <c r="I116" s="27">
        <f t="shared" si="11"/>
        <v>5.333333333333333</v>
      </c>
      <c r="J116" s="28" t="s">
        <v>153</v>
      </c>
      <c r="K116" s="29">
        <v>345407</v>
      </c>
      <c r="L116" s="29">
        <v>346439</v>
      </c>
      <c r="M116" s="29">
        <v>357150</v>
      </c>
      <c r="N116" s="29">
        <f t="shared" si="5"/>
        <v>349665.33333333331</v>
      </c>
      <c r="O116" s="24">
        <v>894</v>
      </c>
      <c r="P116" s="24">
        <v>544</v>
      </c>
      <c r="Q116" s="24">
        <v>592</v>
      </c>
      <c r="R116" s="27">
        <f t="shared" si="6"/>
        <v>676.66666666666663</v>
      </c>
      <c r="S116" s="30">
        <v>59.798454367026494</v>
      </c>
      <c r="U116" s="43">
        <v>60.614248844607161</v>
      </c>
      <c r="V116" s="22">
        <f>IFERROR(VLOOKUP(A111,'Count of Providers as of Jan 18'!A:B,2,FALSE),0)</f>
        <v>23</v>
      </c>
      <c r="W116" s="42">
        <f t="shared" si="7"/>
        <v>-0.81579447758066692</v>
      </c>
    </row>
    <row r="117" spans="1:23">
      <c r="A117" s="23" t="s">
        <v>156</v>
      </c>
      <c r="B117" s="24">
        <v>7010</v>
      </c>
      <c r="C117" s="24" t="s">
        <v>52</v>
      </c>
      <c r="D117" s="24">
        <f>VLOOKUP(A117,'[3]2017'!$B:$I,8,FALSE)</f>
        <v>6393</v>
      </c>
      <c r="E117" s="25">
        <f t="shared" si="10"/>
        <v>6701.5</v>
      </c>
      <c r="F117" s="26">
        <v>11</v>
      </c>
      <c r="G117" s="24">
        <v>9</v>
      </c>
      <c r="H117" s="24">
        <f>VLOOKUP(A117,'[3]2017'!$B:$D,3,FALSE)</f>
        <v>13</v>
      </c>
      <c r="I117" s="27">
        <f t="shared" si="11"/>
        <v>11</v>
      </c>
      <c r="J117" s="28" t="s">
        <v>154</v>
      </c>
      <c r="K117" s="29">
        <v>376294</v>
      </c>
      <c r="L117" s="29">
        <v>383289</v>
      </c>
      <c r="M117" s="29">
        <v>408063</v>
      </c>
      <c r="N117" s="29">
        <f t="shared" si="5"/>
        <v>389215.33333333331</v>
      </c>
      <c r="O117" s="24">
        <v>182</v>
      </c>
      <c r="P117" s="24">
        <v>85</v>
      </c>
      <c r="Q117" s="24">
        <v>117</v>
      </c>
      <c r="R117" s="27">
        <f t="shared" si="6"/>
        <v>128</v>
      </c>
      <c r="S117" s="30">
        <v>45.226537978656623</v>
      </c>
      <c r="U117" s="43">
        <v>46.786173505833794</v>
      </c>
      <c r="V117" s="22">
        <f>IFERROR(VLOOKUP(A112,'Count of Providers as of Jan 18'!A:B,2,FALSE),0)</f>
        <v>10</v>
      </c>
      <c r="W117" s="42">
        <f t="shared" si="7"/>
        <v>-1.5596355271771714</v>
      </c>
    </row>
    <row r="118" spans="1:23">
      <c r="A118" s="23" t="s">
        <v>157</v>
      </c>
      <c r="B118" s="24">
        <v>13385</v>
      </c>
      <c r="C118" s="24">
        <v>12307</v>
      </c>
      <c r="D118" s="24">
        <f>VLOOKUP(A118,'[3]2017'!$B:$I,8,FALSE)</f>
        <v>12809</v>
      </c>
      <c r="E118" s="25">
        <f t="shared" si="10"/>
        <v>12833.666666666666</v>
      </c>
      <c r="F118" s="26">
        <v>51</v>
      </c>
      <c r="G118" s="24">
        <v>43</v>
      </c>
      <c r="H118" s="24">
        <f>VLOOKUP(A118,'[3]2017'!$B:$D,3,FALSE)</f>
        <v>43</v>
      </c>
      <c r="I118" s="27">
        <f t="shared" si="11"/>
        <v>45.666666666666664</v>
      </c>
      <c r="J118" s="28" t="s">
        <v>155</v>
      </c>
      <c r="K118" s="29">
        <v>339065</v>
      </c>
      <c r="L118" s="29">
        <v>349056</v>
      </c>
      <c r="M118" s="29">
        <v>367300</v>
      </c>
      <c r="N118" s="29">
        <f t="shared" si="5"/>
        <v>351807</v>
      </c>
      <c r="O118" s="24">
        <v>78</v>
      </c>
      <c r="P118" s="24">
        <v>72</v>
      </c>
      <c r="Q118" s="24">
        <v>73</v>
      </c>
      <c r="R118" s="27">
        <f t="shared" si="6"/>
        <v>74.333333333333329</v>
      </c>
      <c r="S118" s="30">
        <v>45.906516696573156</v>
      </c>
      <c r="U118" s="43">
        <v>51.945465323058684</v>
      </c>
      <c r="V118" s="22">
        <f>IFERROR(VLOOKUP(A113,'Count of Providers as of Jan 18'!A:B,2,FALSE),0)</f>
        <v>6</v>
      </c>
      <c r="W118" s="42">
        <f t="shared" si="7"/>
        <v>-6.0389486264855279</v>
      </c>
    </row>
    <row r="119" spans="1:23">
      <c r="A119" s="23" t="s">
        <v>158</v>
      </c>
      <c r="B119" s="24">
        <v>8465</v>
      </c>
      <c r="C119" s="24">
        <v>8821</v>
      </c>
      <c r="D119" s="24">
        <f>VLOOKUP(A119,'[3]2017'!$B:$I,8,FALSE)</f>
        <v>8861</v>
      </c>
      <c r="E119" s="25">
        <f t="shared" si="10"/>
        <v>8715.6666666666661</v>
      </c>
      <c r="F119" s="26">
        <v>32</v>
      </c>
      <c r="G119" s="24">
        <v>20</v>
      </c>
      <c r="H119" s="24">
        <f>VLOOKUP(A119,'[3]2017'!$B:$D,3,FALSE)</f>
        <v>33</v>
      </c>
      <c r="I119" s="27">
        <f t="shared" si="11"/>
        <v>28.333333333333332</v>
      </c>
      <c r="J119" s="28" t="s">
        <v>288</v>
      </c>
      <c r="K119" s="29">
        <v>303184</v>
      </c>
      <c r="L119" s="29">
        <v>306218</v>
      </c>
      <c r="M119" s="29">
        <v>319358</v>
      </c>
      <c r="N119" s="29">
        <f t="shared" si="5"/>
        <v>309586.66666666669</v>
      </c>
      <c r="O119" s="24">
        <v>64</v>
      </c>
      <c r="P119" s="24">
        <v>74</v>
      </c>
      <c r="Q119" s="24">
        <v>56</v>
      </c>
      <c r="R119" s="27">
        <f t="shared" si="6"/>
        <v>64.666666666666671</v>
      </c>
      <c r="S119" s="30">
        <v>45.906516696573156</v>
      </c>
      <c r="U119" s="43">
        <v>0</v>
      </c>
      <c r="V119" s="22">
        <f>IFERROR(VLOOKUP(A114,'Count of Providers as of Jan 18'!A:B,2,FALSE),0)</f>
        <v>3</v>
      </c>
      <c r="W119" s="42">
        <f t="shared" si="7"/>
        <v>45.906516696573156</v>
      </c>
    </row>
    <row r="120" spans="1:23">
      <c r="A120" s="23" t="s">
        <v>159</v>
      </c>
      <c r="B120" s="24">
        <v>9019</v>
      </c>
      <c r="C120" s="24">
        <v>8141</v>
      </c>
      <c r="D120" s="24">
        <f>VLOOKUP(A120,'[3]2017'!$B:$I,8,FALSE)</f>
        <v>7438</v>
      </c>
      <c r="E120" s="25">
        <f t="shared" si="10"/>
        <v>8199.3333333333339</v>
      </c>
      <c r="F120" s="26">
        <v>107</v>
      </c>
      <c r="G120" s="24">
        <v>87</v>
      </c>
      <c r="H120" s="24">
        <f>VLOOKUP(A120,'[3]2017'!$B:$D,3,FALSE)</f>
        <v>72</v>
      </c>
      <c r="I120" s="27">
        <f t="shared" si="11"/>
        <v>88.666666666666671</v>
      </c>
      <c r="J120" s="28" t="s">
        <v>156</v>
      </c>
      <c r="K120" s="29">
        <v>189520</v>
      </c>
      <c r="L120" s="29">
        <v>185809</v>
      </c>
      <c r="M120" s="29">
        <v>192281</v>
      </c>
      <c r="N120" s="29">
        <f t="shared" si="5"/>
        <v>189203.33333333334</v>
      </c>
      <c r="O120" s="24">
        <v>165</v>
      </c>
      <c r="P120" s="24">
        <v>134</v>
      </c>
      <c r="Q120" s="24">
        <v>115</v>
      </c>
      <c r="R120" s="27">
        <f t="shared" si="6"/>
        <v>138</v>
      </c>
      <c r="S120" s="30">
        <v>47.420938137321542</v>
      </c>
      <c r="U120" s="43">
        <v>56.95027771843624</v>
      </c>
      <c r="V120" s="22">
        <f>IFERROR(VLOOKUP(A115,'Count of Providers as of Jan 18'!A:B,2,FALSE),0)</f>
        <v>10</v>
      </c>
      <c r="W120" s="42">
        <f t="shared" si="7"/>
        <v>-9.5293395811146979</v>
      </c>
    </row>
    <row r="121" spans="1:23">
      <c r="A121" s="23" t="s">
        <v>160</v>
      </c>
      <c r="B121" s="24">
        <v>10772</v>
      </c>
      <c r="C121" s="24">
        <v>10385</v>
      </c>
      <c r="D121" s="24">
        <f>VLOOKUP(A121,'[3]2017'!$B:$I,8,FALSE)</f>
        <v>9264</v>
      </c>
      <c r="E121" s="25">
        <f t="shared" si="10"/>
        <v>10140.333333333334</v>
      </c>
      <c r="F121" s="26">
        <v>150</v>
      </c>
      <c r="G121" s="24">
        <v>92</v>
      </c>
      <c r="H121" s="24">
        <f>VLOOKUP(A121,'[3]2017'!$B:$D,3,FALSE)</f>
        <v>96</v>
      </c>
      <c r="I121" s="27">
        <f t="shared" si="11"/>
        <v>112.66666666666667</v>
      </c>
      <c r="J121" s="28" t="s">
        <v>157</v>
      </c>
      <c r="K121" s="29">
        <v>197436</v>
      </c>
      <c r="L121" s="29">
        <v>192862</v>
      </c>
      <c r="M121" s="29">
        <v>217424</v>
      </c>
      <c r="N121" s="29">
        <f t="shared" si="5"/>
        <v>202574</v>
      </c>
      <c r="O121" s="24">
        <v>21</v>
      </c>
      <c r="P121" s="24">
        <v>11</v>
      </c>
      <c r="Q121" s="24">
        <v>19</v>
      </c>
      <c r="R121" s="27">
        <f t="shared" si="6"/>
        <v>17</v>
      </c>
      <c r="S121" s="30">
        <v>43.738780031320424</v>
      </c>
      <c r="T121" s="77" t="s">
        <v>268</v>
      </c>
      <c r="U121" s="43">
        <v>52.441131237183868</v>
      </c>
      <c r="V121" s="22">
        <f>IFERROR(VLOOKUP(A116,'Count of Providers as of Jan 18'!A:B,2,FALSE),0)</f>
        <v>0</v>
      </c>
      <c r="W121" s="42">
        <f t="shared" si="7"/>
        <v>-8.7023512058634438</v>
      </c>
    </row>
    <row r="122" spans="1:23">
      <c r="A122" s="23" t="s">
        <v>161</v>
      </c>
      <c r="B122" s="24">
        <v>7938</v>
      </c>
      <c r="C122" s="24">
        <v>9658</v>
      </c>
      <c r="D122" s="24">
        <f>VLOOKUP(A122,'[3]2017'!$B:$I,8,FALSE)</f>
        <v>6603</v>
      </c>
      <c r="E122" s="25">
        <f t="shared" si="10"/>
        <v>8066.333333333333</v>
      </c>
      <c r="F122" s="26">
        <v>80</v>
      </c>
      <c r="G122" s="24">
        <v>49</v>
      </c>
      <c r="H122" s="24">
        <f>VLOOKUP(A122,'[3]2017'!$B:$D,3,FALSE)</f>
        <v>37</v>
      </c>
      <c r="I122" s="27">
        <f t="shared" si="11"/>
        <v>55.333333333333336</v>
      </c>
      <c r="J122" s="28" t="s">
        <v>158</v>
      </c>
      <c r="K122" s="29">
        <v>300595</v>
      </c>
      <c r="L122" s="29">
        <v>350805</v>
      </c>
      <c r="M122" s="29">
        <v>336557</v>
      </c>
      <c r="N122" s="29">
        <f t="shared" si="5"/>
        <v>329319</v>
      </c>
      <c r="O122" s="24">
        <v>25</v>
      </c>
      <c r="P122" s="24">
        <v>15</v>
      </c>
      <c r="Q122" s="24">
        <v>19</v>
      </c>
      <c r="R122" s="27">
        <f t="shared" si="6"/>
        <v>19.666666666666668</v>
      </c>
      <c r="S122" s="30">
        <v>45.906516696573156</v>
      </c>
      <c r="U122" s="43">
        <v>46.536889897843359</v>
      </c>
      <c r="V122" s="22">
        <f>IFERROR(VLOOKUP(A117,'Count of Providers as of Jan 18'!A:B,2,FALSE),0)</f>
        <v>0</v>
      </c>
      <c r="W122" s="42">
        <f t="shared" si="7"/>
        <v>-0.6303732012702028</v>
      </c>
    </row>
    <row r="123" spans="1:23">
      <c r="A123" s="23" t="s">
        <v>162</v>
      </c>
      <c r="B123" s="24" t="s">
        <v>52</v>
      </c>
      <c r="C123" s="24" t="s">
        <v>52</v>
      </c>
      <c r="D123" s="24">
        <f>VLOOKUP(A123,'[3]2017'!$B:$I,8,FALSE)</f>
        <v>10326</v>
      </c>
      <c r="E123" s="25">
        <f t="shared" si="10"/>
        <v>10326</v>
      </c>
      <c r="F123" s="26">
        <v>7</v>
      </c>
      <c r="G123" s="24">
        <v>8</v>
      </c>
      <c r="H123" s="24">
        <f>VLOOKUP(A123,'[3]2017'!$B:$D,3,FALSE)</f>
        <v>10</v>
      </c>
      <c r="I123" s="27">
        <f t="shared" si="11"/>
        <v>8.3333333333333339</v>
      </c>
      <c r="J123" s="28" t="s">
        <v>159</v>
      </c>
      <c r="K123" s="29">
        <v>593954</v>
      </c>
      <c r="L123" s="29">
        <v>564648</v>
      </c>
      <c r="M123" s="29">
        <v>561952</v>
      </c>
      <c r="N123" s="29">
        <f t="shared" si="5"/>
        <v>573518</v>
      </c>
      <c r="O123" s="24">
        <v>85</v>
      </c>
      <c r="P123" s="24">
        <v>79</v>
      </c>
      <c r="Q123" s="24">
        <v>62</v>
      </c>
      <c r="R123" s="27">
        <f t="shared" si="6"/>
        <v>75.333333333333329</v>
      </c>
      <c r="S123" s="30">
        <v>59.121499622468079</v>
      </c>
      <c r="U123" s="43">
        <v>48.670002793036033</v>
      </c>
      <c r="V123" s="22">
        <f>IFERROR(VLOOKUP(A118,'Count of Providers as of Jan 18'!A:B,2,FALSE),0)</f>
        <v>7</v>
      </c>
      <c r="W123" s="42">
        <f t="shared" si="7"/>
        <v>10.451496829432045</v>
      </c>
    </row>
    <row r="124" spans="1:23">
      <c r="A124" s="23" t="s">
        <v>163</v>
      </c>
      <c r="B124" s="24">
        <v>10706</v>
      </c>
      <c r="C124" s="24">
        <v>8524</v>
      </c>
      <c r="D124" s="24">
        <f>VLOOKUP(A124,'[3]2017'!$B:$I,8,FALSE)</f>
        <v>8246</v>
      </c>
      <c r="E124" s="25">
        <f t="shared" si="10"/>
        <v>9158.6666666666661</v>
      </c>
      <c r="F124" s="26">
        <v>81</v>
      </c>
      <c r="G124" s="24">
        <v>55</v>
      </c>
      <c r="H124" s="24">
        <f>VLOOKUP(A124,'[3]2017'!$B:$D,3,FALSE)</f>
        <v>49</v>
      </c>
      <c r="I124" s="27">
        <f t="shared" si="11"/>
        <v>61.666666666666664</v>
      </c>
      <c r="J124" s="28" t="s">
        <v>160</v>
      </c>
      <c r="K124" s="29">
        <v>340000</v>
      </c>
      <c r="L124" s="29">
        <v>371235</v>
      </c>
      <c r="M124" s="29">
        <v>339750</v>
      </c>
      <c r="N124" s="29">
        <f t="shared" si="5"/>
        <v>350328.33333333331</v>
      </c>
      <c r="O124" s="24">
        <v>52</v>
      </c>
      <c r="P124" s="24">
        <v>40</v>
      </c>
      <c r="Q124" s="24">
        <v>42</v>
      </c>
      <c r="R124" s="27">
        <f t="shared" si="6"/>
        <v>44.666666666666664</v>
      </c>
      <c r="S124" s="30">
        <v>46.599242105263158</v>
      </c>
      <c r="U124" s="43">
        <v>60.703179867342961</v>
      </c>
      <c r="V124" s="22">
        <f>IFERROR(VLOOKUP(A119,'Count of Providers as of Jan 18'!A:B,2,FALSE),0)</f>
        <v>3</v>
      </c>
      <c r="W124" s="42">
        <f t="shared" si="7"/>
        <v>-14.103937762079802</v>
      </c>
    </row>
    <row r="125" spans="1:23">
      <c r="A125" s="23" t="s">
        <v>164</v>
      </c>
      <c r="B125" s="24" t="s">
        <v>52</v>
      </c>
      <c r="C125" s="24" t="s">
        <v>52</v>
      </c>
      <c r="D125" s="24">
        <f>VLOOKUP(A125,'[3]2017'!$B:$I,8,FALSE)</f>
        <v>8795</v>
      </c>
      <c r="E125" s="25">
        <f t="shared" si="10"/>
        <v>8795</v>
      </c>
      <c r="F125" s="26">
        <v>1</v>
      </c>
      <c r="G125" s="24">
        <v>3</v>
      </c>
      <c r="H125" s="24">
        <f>VLOOKUP(A125,'[3]2017'!$B:$D,3,FALSE)</f>
        <v>10</v>
      </c>
      <c r="I125" s="27">
        <f t="shared" si="11"/>
        <v>4.666666666666667</v>
      </c>
      <c r="J125" s="28" t="s">
        <v>161</v>
      </c>
      <c r="K125" s="29">
        <v>329196</v>
      </c>
      <c r="L125" s="29">
        <v>350000</v>
      </c>
      <c r="M125" s="29">
        <v>322918</v>
      </c>
      <c r="N125" s="29">
        <f t="shared" si="5"/>
        <v>334038</v>
      </c>
      <c r="O125" s="24">
        <v>230</v>
      </c>
      <c r="P125" s="24">
        <v>144</v>
      </c>
      <c r="Q125" s="24">
        <v>169</v>
      </c>
      <c r="R125" s="27">
        <f t="shared" si="6"/>
        <v>181</v>
      </c>
      <c r="S125" s="30">
        <v>45.906516696573156</v>
      </c>
      <c r="U125" s="43">
        <v>50.065328206045429</v>
      </c>
      <c r="V125" s="22">
        <f>IFERROR(VLOOKUP(A120,'Count of Providers as of Jan 18'!A:B,2,FALSE),0)</f>
        <v>4</v>
      </c>
      <c r="W125" s="42">
        <f t="shared" si="7"/>
        <v>-4.1588115094722724</v>
      </c>
    </row>
    <row r="126" spans="1:23">
      <c r="A126" s="23" t="s">
        <v>165</v>
      </c>
      <c r="B126" s="24">
        <v>8795</v>
      </c>
      <c r="C126" s="24">
        <v>6780</v>
      </c>
      <c r="D126" s="24">
        <f>VLOOKUP(A126,'[3]2017'!$B:$I,8,FALSE)</f>
        <v>9687</v>
      </c>
      <c r="E126" s="25">
        <f t="shared" si="10"/>
        <v>8420.6666666666661</v>
      </c>
      <c r="F126" s="26">
        <v>65</v>
      </c>
      <c r="G126" s="24">
        <v>34</v>
      </c>
      <c r="H126" s="24">
        <f>VLOOKUP(A126,'[3]2017'!$B:$D,3,FALSE)</f>
        <v>37</v>
      </c>
      <c r="I126" s="27">
        <f t="shared" si="11"/>
        <v>45.333333333333336</v>
      </c>
      <c r="J126" s="28" t="s">
        <v>162</v>
      </c>
      <c r="K126" s="29">
        <v>540781</v>
      </c>
      <c r="L126" s="29">
        <v>547541</v>
      </c>
      <c r="M126" s="29">
        <v>599992</v>
      </c>
      <c r="N126" s="29">
        <f t="shared" si="5"/>
        <v>562771.33333333337</v>
      </c>
      <c r="O126" s="24">
        <v>233</v>
      </c>
      <c r="P126" s="24">
        <v>149</v>
      </c>
      <c r="Q126" s="24">
        <v>191</v>
      </c>
      <c r="R126" s="27">
        <f t="shared" si="6"/>
        <v>191</v>
      </c>
      <c r="S126" s="30">
        <v>54.295788519875508</v>
      </c>
      <c r="U126" s="43">
        <v>48.670002793036033</v>
      </c>
      <c r="V126" s="22">
        <f>IFERROR(VLOOKUP(A121,'Count of Providers as of Jan 18'!A:B,2,FALSE),0)</f>
        <v>8</v>
      </c>
      <c r="W126" s="42">
        <f t="shared" si="7"/>
        <v>5.6257857268394744</v>
      </c>
    </row>
    <row r="127" spans="1:23">
      <c r="A127" s="23" t="s">
        <v>166</v>
      </c>
      <c r="B127" s="24">
        <v>8655</v>
      </c>
      <c r="C127" s="24">
        <v>6525</v>
      </c>
      <c r="D127" s="24">
        <f>VLOOKUP(A127,'[3]2017'!$B:$I,8,FALSE)</f>
        <v>6008</v>
      </c>
      <c r="E127" s="25">
        <f t="shared" si="10"/>
        <v>7062.666666666667</v>
      </c>
      <c r="F127" s="26">
        <v>36</v>
      </c>
      <c r="G127" s="24">
        <v>49</v>
      </c>
      <c r="H127" s="24">
        <f>VLOOKUP(A127,'[3]2017'!$B:$D,3,FALSE)</f>
        <v>39</v>
      </c>
      <c r="I127" s="27">
        <f t="shared" si="11"/>
        <v>41.333333333333336</v>
      </c>
      <c r="J127" s="28" t="s">
        <v>163</v>
      </c>
      <c r="K127" s="29">
        <v>332257</v>
      </c>
      <c r="L127" s="29">
        <v>361794</v>
      </c>
      <c r="M127" s="29">
        <v>360538</v>
      </c>
      <c r="N127" s="29">
        <f t="shared" si="5"/>
        <v>351529.66666666669</v>
      </c>
      <c r="O127" s="24">
        <v>124</v>
      </c>
      <c r="P127" s="24">
        <v>84</v>
      </c>
      <c r="Q127" s="24">
        <v>70</v>
      </c>
      <c r="R127" s="27">
        <f t="shared" si="6"/>
        <v>92.666666666666671</v>
      </c>
      <c r="S127" s="30">
        <v>54.295788519875508</v>
      </c>
      <c r="U127" s="43">
        <v>53.307313421073367</v>
      </c>
      <c r="V127" s="22">
        <f>IFERROR(VLOOKUP(A122,'Count of Providers as of Jan 18'!A:B,2,FALSE),0)</f>
        <v>10</v>
      </c>
      <c r="W127" s="42">
        <f t="shared" si="7"/>
        <v>0.98847509880214091</v>
      </c>
    </row>
    <row r="128" spans="1:23">
      <c r="A128" s="23" t="str">
        <f>J133</f>
        <v>Surgery: Trauma-Burn</v>
      </c>
      <c r="F128" s="26"/>
      <c r="I128" s="27"/>
      <c r="J128" s="28" t="s">
        <v>164</v>
      </c>
      <c r="K128" s="29">
        <v>316267</v>
      </c>
      <c r="L128" s="29">
        <v>342684</v>
      </c>
      <c r="M128" s="29">
        <v>361267</v>
      </c>
      <c r="N128" s="29">
        <f t="shared" si="5"/>
        <v>340072.66666666669</v>
      </c>
      <c r="O128" s="24">
        <v>12</v>
      </c>
      <c r="P128" s="24">
        <v>11</v>
      </c>
      <c r="Q128" s="24">
        <v>20</v>
      </c>
      <c r="R128" s="27">
        <f t="shared" si="6"/>
        <v>14.333333333333334</v>
      </c>
      <c r="S128" s="30">
        <v>52.045529326242487</v>
      </c>
      <c r="U128" s="43">
        <v>53.307313421073367</v>
      </c>
      <c r="V128" s="22">
        <f>IFERROR(VLOOKUP(A123,'Count of Providers as of Jan 18'!A:B,2,FALSE),0)</f>
        <v>0</v>
      </c>
      <c r="W128" s="42">
        <f t="shared" si="7"/>
        <v>-1.2617840948308796</v>
      </c>
    </row>
    <row r="129" spans="1:23">
      <c r="A129" s="23" t="s">
        <v>167</v>
      </c>
      <c r="B129" s="24" t="s">
        <v>52</v>
      </c>
      <c r="C129" s="24" t="s">
        <v>52</v>
      </c>
      <c r="D129" s="24">
        <f>VLOOKUP(A129,'[3]2017'!$B:$I,8,FALSE)</f>
        <v>0</v>
      </c>
      <c r="E129" s="25">
        <f>IFERROR(AVERAGE(B129:D129),0)</f>
        <v>0</v>
      </c>
      <c r="F129" s="26">
        <v>5</v>
      </c>
      <c r="G129" s="24">
        <v>3</v>
      </c>
      <c r="H129" s="24">
        <f>VLOOKUP(A129,'[3]2017'!$B:$D,3,FALSE)</f>
        <v>6</v>
      </c>
      <c r="I129" s="27">
        <f>AVERAGE(F129:H129)</f>
        <v>4.666666666666667</v>
      </c>
      <c r="J129" s="28" t="s">
        <v>165</v>
      </c>
      <c r="K129" s="29">
        <v>431500</v>
      </c>
      <c r="L129" s="29">
        <v>444072</v>
      </c>
      <c r="M129" s="29">
        <v>430200</v>
      </c>
      <c r="N129" s="29">
        <f t="shared" si="5"/>
        <v>435257.33333333331</v>
      </c>
      <c r="O129" s="24">
        <v>132</v>
      </c>
      <c r="P129" s="24">
        <v>91</v>
      </c>
      <c r="Q129" s="24">
        <v>82</v>
      </c>
      <c r="R129" s="27">
        <f t="shared" si="6"/>
        <v>101.66666666666667</v>
      </c>
      <c r="S129" s="30">
        <v>67.016180750826294</v>
      </c>
      <c r="U129" s="43">
        <v>51.095112560269179</v>
      </c>
      <c r="V129" s="22">
        <f>IFERROR(VLOOKUP(A124,'Count of Providers as of Jan 18'!A:B,2,FALSE),0)</f>
        <v>7</v>
      </c>
      <c r="W129" s="42">
        <f t="shared" si="7"/>
        <v>15.921068190557115</v>
      </c>
    </row>
    <row r="130" spans="1:23">
      <c r="A130" s="23" t="s">
        <v>168</v>
      </c>
      <c r="B130" s="24">
        <v>8479</v>
      </c>
      <c r="C130" s="24">
        <v>8980</v>
      </c>
      <c r="D130" s="24">
        <f>VLOOKUP(A130,'[3]2017'!$B:$I,8,FALSE)</f>
        <v>9678</v>
      </c>
      <c r="E130" s="25">
        <f>IFERROR(AVERAGE(B130:D130),0)</f>
        <v>9045.6666666666661</v>
      </c>
      <c r="F130" s="26">
        <v>83</v>
      </c>
      <c r="G130" s="24">
        <v>57</v>
      </c>
      <c r="H130" s="24">
        <f>VLOOKUP(A130,'[3]2017'!$B:$D,3,FALSE)</f>
        <v>50</v>
      </c>
      <c r="I130" s="27">
        <f>AVERAGE(F130:H130)</f>
        <v>63.333333333333336</v>
      </c>
      <c r="J130" s="28" t="s">
        <v>166</v>
      </c>
      <c r="K130" s="29" t="s">
        <v>52</v>
      </c>
      <c r="L130" s="29">
        <v>408666</v>
      </c>
      <c r="M130" s="29">
        <v>484309</v>
      </c>
      <c r="N130" s="29">
        <f t="shared" si="5"/>
        <v>446487.5</v>
      </c>
      <c r="O130" s="24">
        <v>6</v>
      </c>
      <c r="P130" s="24">
        <v>10</v>
      </c>
      <c r="Q130" s="24">
        <v>13</v>
      </c>
      <c r="R130" s="27">
        <f t="shared" si="6"/>
        <v>9.6666666666666661</v>
      </c>
      <c r="S130" s="30">
        <v>45.906516696573156</v>
      </c>
      <c r="U130" s="43">
        <v>67.922640961054057</v>
      </c>
      <c r="V130" s="22">
        <f>IFERROR(VLOOKUP(A125,'Count of Providers as of Jan 18'!A:B,2,FALSE),0)</f>
        <v>1</v>
      </c>
      <c r="W130" s="42">
        <f t="shared" si="7"/>
        <v>-22.016124264480901</v>
      </c>
    </row>
    <row r="131" spans="1:23">
      <c r="A131" s="23" t="s">
        <v>169</v>
      </c>
      <c r="B131" s="24" t="s">
        <v>52</v>
      </c>
      <c r="C131" s="24" t="s">
        <v>52</v>
      </c>
      <c r="D131" s="24">
        <f>VLOOKUP(A131,'[3]2017'!$B:$I,8,FALSE)</f>
        <v>8364</v>
      </c>
      <c r="E131" s="25">
        <f>IFERROR(AVERAGE(B131:D131),0)</f>
        <v>8364</v>
      </c>
      <c r="F131" s="26">
        <v>9</v>
      </c>
      <c r="G131" s="24">
        <v>9</v>
      </c>
      <c r="H131" s="24">
        <f>VLOOKUP(A131,'[3]2017'!$B:$D,3,FALSE)</f>
        <v>10</v>
      </c>
      <c r="I131" s="27">
        <f>AVERAGE(F131:H131)</f>
        <v>9.3333333333333339</v>
      </c>
      <c r="J131" s="28" t="s">
        <v>167</v>
      </c>
      <c r="K131" s="29">
        <v>473478</v>
      </c>
      <c r="L131" s="29">
        <v>402094</v>
      </c>
      <c r="M131" s="29">
        <v>427204</v>
      </c>
      <c r="N131" s="29">
        <f t="shared" si="5"/>
        <v>434258.66666666669</v>
      </c>
      <c r="O131" s="24">
        <v>88</v>
      </c>
      <c r="P131" s="24">
        <v>53</v>
      </c>
      <c r="Q131" s="24">
        <v>47</v>
      </c>
      <c r="R131" s="27">
        <f t="shared" si="6"/>
        <v>62.666666666666664</v>
      </c>
      <c r="S131" s="30">
        <v>43.445060391350644</v>
      </c>
      <c r="U131" s="43">
        <v>48.670002793036033</v>
      </c>
      <c r="V131" s="22">
        <f>IFERROR(VLOOKUP(A126,'Count of Providers as of Jan 18'!A:B,2,FALSE),0)</f>
        <v>0</v>
      </c>
      <c r="W131" s="42">
        <f t="shared" si="7"/>
        <v>-5.2249424016853894</v>
      </c>
    </row>
    <row r="132" spans="1:23">
      <c r="A132" s="23" t="s">
        <v>170</v>
      </c>
      <c r="B132" s="24">
        <v>10484</v>
      </c>
      <c r="C132" s="24">
        <v>10161</v>
      </c>
      <c r="D132" s="24">
        <f>VLOOKUP(A132,'[3]2017'!$B:$I,8,FALSE)</f>
        <v>8708</v>
      </c>
      <c r="E132" s="25">
        <f>IFERROR(AVERAGE(B132:D132),0)</f>
        <v>9784.3333333333339</v>
      </c>
      <c r="F132" s="26">
        <v>50</v>
      </c>
      <c r="G132" s="24">
        <v>40</v>
      </c>
      <c r="H132" s="24">
        <f>VLOOKUP(A132,'[3]2017'!$B:$D,3,FALSE)</f>
        <v>37</v>
      </c>
      <c r="I132" s="27">
        <f>AVERAGE(F132:H132)</f>
        <v>42.333333333333336</v>
      </c>
      <c r="J132" s="28" t="s">
        <v>168</v>
      </c>
      <c r="K132" s="29">
        <v>391200</v>
      </c>
      <c r="L132" s="29">
        <v>397925</v>
      </c>
      <c r="M132" s="29">
        <v>470775</v>
      </c>
      <c r="N132" s="29">
        <f t="shared" si="5"/>
        <v>419966.66666666669</v>
      </c>
      <c r="O132" s="24">
        <v>69</v>
      </c>
      <c r="P132" s="24">
        <v>69</v>
      </c>
      <c r="Q132" s="24">
        <v>49</v>
      </c>
      <c r="R132" s="27">
        <f t="shared" si="6"/>
        <v>62.333333333333336</v>
      </c>
      <c r="S132" s="30">
        <v>45.906516696573156</v>
      </c>
      <c r="U132" s="43">
        <v>45.02076712733723</v>
      </c>
      <c r="V132" s="22">
        <f>IFERROR(VLOOKUP(A127,'Count of Providers as of Jan 18'!A:B,2,FALSE),0)</f>
        <v>4</v>
      </c>
      <c r="W132" s="42">
        <f t="shared" si="7"/>
        <v>0.88574956923592651</v>
      </c>
    </row>
    <row r="133" spans="1:23">
      <c r="A133" s="23" t="s">
        <v>171</v>
      </c>
      <c r="B133" s="24">
        <v>8324</v>
      </c>
      <c r="C133" s="24">
        <v>8640</v>
      </c>
      <c r="D133" s="24">
        <f>VLOOKUP(A133,'[3]2017'!$B:$I,8,FALSE)</f>
        <v>9208</v>
      </c>
      <c r="E133" s="25">
        <f>IFERROR(AVERAGE(B133:D133),0)</f>
        <v>8724</v>
      </c>
      <c r="F133" s="26">
        <v>111</v>
      </c>
      <c r="G133" s="24">
        <v>105</v>
      </c>
      <c r="H133" s="24">
        <f>VLOOKUP(A133,'[3]2017'!$B:$D,3,FALSE)</f>
        <v>97</v>
      </c>
      <c r="I133" s="27">
        <f>AVERAGE(F133:H133)</f>
        <v>104.33333333333333</v>
      </c>
      <c r="J133" s="28" t="s">
        <v>169</v>
      </c>
      <c r="K133" s="29" t="s">
        <v>52</v>
      </c>
      <c r="L133" s="29" t="s">
        <v>52</v>
      </c>
      <c r="M133" s="29">
        <v>368431</v>
      </c>
      <c r="N133" s="29">
        <f t="shared" si="5"/>
        <v>368431</v>
      </c>
      <c r="O133" s="24">
        <v>9</v>
      </c>
      <c r="P133" s="24">
        <v>1</v>
      </c>
      <c r="Q133" s="24">
        <v>12</v>
      </c>
      <c r="R133" s="27">
        <f t="shared" si="6"/>
        <v>7.333333333333333</v>
      </c>
      <c r="S133" s="30">
        <v>44.244875668984598</v>
      </c>
      <c r="U133" s="43">
        <v>48.670002793036033</v>
      </c>
      <c r="V133" s="22">
        <f>IFERROR(VLOOKUP(A128,'Count of Providers as of Jan 18'!A:B,2,FALSE),0)</f>
        <v>5</v>
      </c>
      <c r="W133" s="42">
        <f t="shared" si="7"/>
        <v>-4.4251271240514356</v>
      </c>
    </row>
    <row r="134" spans="1:23">
      <c r="A134" s="23"/>
      <c r="F134" s="26"/>
      <c r="I134" s="27"/>
      <c r="J134" s="28" t="s">
        <v>170</v>
      </c>
      <c r="K134" s="29">
        <v>329833</v>
      </c>
      <c r="L134" s="29" t="s">
        <v>52</v>
      </c>
      <c r="M134" s="29">
        <v>400060</v>
      </c>
      <c r="N134" s="29">
        <f t="shared" si="5"/>
        <v>364946.5</v>
      </c>
      <c r="O134" s="24">
        <v>10</v>
      </c>
      <c r="P134" s="24">
        <v>4</v>
      </c>
      <c r="Q134" s="24">
        <v>11</v>
      </c>
      <c r="R134" s="27">
        <f t="shared" si="6"/>
        <v>8.3333333333333339</v>
      </c>
      <c r="S134" s="30">
        <v>43.063624869849768</v>
      </c>
      <c r="U134" s="43">
        <v>46.951634723788047</v>
      </c>
      <c r="V134" s="22">
        <f>IFERROR(VLOOKUP(A129,'Count of Providers as of Jan 18'!A:B,2,FALSE),0)</f>
        <v>0</v>
      </c>
      <c r="W134" s="42">
        <f t="shared" si="7"/>
        <v>-3.8880098539382786</v>
      </c>
    </row>
    <row r="135" spans="1:23">
      <c r="J135" s="22" t="s">
        <v>171</v>
      </c>
      <c r="U135" s="43">
        <v>44.359220005280434</v>
      </c>
      <c r="V135" s="22">
        <f>IFERROR(VLOOKUP(A130,'Count of Providers as of Jan 18'!A:B,2,FALSE),0)</f>
        <v>9</v>
      </c>
      <c r="W135" s="42">
        <f t="shared" si="7"/>
        <v>-44.359220005280434</v>
      </c>
    </row>
    <row r="136" spans="1:23">
      <c r="J136" s="22" t="s">
        <v>43</v>
      </c>
      <c r="U136" s="43">
        <v>64.900000000000006</v>
      </c>
      <c r="V136" s="22">
        <f>IFERROR(VLOOKUP(A131,'Count of Providers as of Jan 18'!A:B,2,FALSE),0)</f>
        <v>5</v>
      </c>
      <c r="W136" s="42">
        <f t="shared" ref="W136:W139" si="12">S136-U136</f>
        <v>-64.900000000000006</v>
      </c>
    </row>
    <row r="137" spans="1:23">
      <c r="J137" s="22" t="s">
        <v>111</v>
      </c>
      <c r="U137" s="43">
        <v>81.125</v>
      </c>
      <c r="V137" s="22">
        <f>IFERROR(VLOOKUP(A132,'Count of Providers as of Jan 18'!A:B,2,FALSE),0)</f>
        <v>7</v>
      </c>
      <c r="W137" s="42">
        <f t="shared" si="12"/>
        <v>-81.125</v>
      </c>
    </row>
    <row r="138" spans="1:23">
      <c r="J138" s="28" t="s">
        <v>233</v>
      </c>
      <c r="K138" s="29">
        <v>379174</v>
      </c>
      <c r="L138" s="29">
        <v>368834</v>
      </c>
      <c r="M138" s="29">
        <v>394485</v>
      </c>
      <c r="N138" s="29">
        <f>IFERROR(AVERAGE(K138:M138),0)</f>
        <v>380831</v>
      </c>
      <c r="O138" s="24">
        <v>137</v>
      </c>
      <c r="P138" s="24">
        <v>78</v>
      </c>
      <c r="Q138" s="24">
        <v>98</v>
      </c>
      <c r="R138" s="27">
        <f>AVERAGE(O138:Q138)</f>
        <v>104.33333333333333</v>
      </c>
      <c r="S138" s="30">
        <v>47.83</v>
      </c>
      <c r="U138" s="43">
        <v>53.560955531894301</v>
      </c>
      <c r="V138" s="22">
        <f>IFERROR(VLOOKUP(A133,'Count of Providers as of Jan 18'!A:B,2,FALSE),0)</f>
        <v>13</v>
      </c>
      <c r="W138" s="42">
        <f t="shared" si="12"/>
        <v>-5.7309555318943026</v>
      </c>
    </row>
    <row r="139" spans="1:23">
      <c r="J139" s="28" t="s">
        <v>234</v>
      </c>
      <c r="K139" s="29"/>
      <c r="L139" s="29"/>
      <c r="M139" s="29"/>
      <c r="N139" s="29"/>
      <c r="O139" s="24"/>
      <c r="P139" s="24"/>
      <c r="Q139" s="24"/>
      <c r="R139" s="27"/>
      <c r="S139" s="30">
        <v>51.52</v>
      </c>
      <c r="U139" s="43">
        <v>53.881193275130947</v>
      </c>
      <c r="W139" s="42">
        <f t="shared" si="12"/>
        <v>-2.3611932751309439</v>
      </c>
    </row>
    <row r="140" spans="1:23">
      <c r="J140" s="78"/>
      <c r="W140" s="42"/>
    </row>
    <row r="141" spans="1:23">
      <c r="W141" s="42"/>
    </row>
    <row r="142" spans="1:23">
      <c r="W142" s="42"/>
    </row>
    <row r="143" spans="1:23">
      <c r="W143" s="42"/>
    </row>
    <row r="144" spans="1:23">
      <c r="W144" s="42"/>
    </row>
  </sheetData>
  <autoFilter ref="A1:W140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workbookViewId="0">
      <selection sqref="A1:B1"/>
    </sheetView>
  </sheetViews>
  <sheetFormatPr defaultColWidth="8.7109375" defaultRowHeight="15"/>
  <cols>
    <col min="1" max="1" width="44.5703125" style="22" bestFit="1" customWidth="1"/>
    <col min="2" max="16384" width="8.7109375" style="22"/>
  </cols>
  <sheetData>
    <row r="1" spans="1:2">
      <c r="A1" s="33" t="s">
        <v>42</v>
      </c>
      <c r="B1" s="34">
        <v>6</v>
      </c>
    </row>
    <row r="2" spans="1:2">
      <c r="A2" s="33" t="s">
        <v>43</v>
      </c>
      <c r="B2" s="34">
        <v>62</v>
      </c>
    </row>
    <row r="3" spans="1:2">
      <c r="A3" s="33" t="s">
        <v>44</v>
      </c>
      <c r="B3" s="34">
        <v>6</v>
      </c>
    </row>
    <row r="4" spans="1:2">
      <c r="A4" s="33" t="s">
        <v>45</v>
      </c>
      <c r="B4" s="34">
        <v>6</v>
      </c>
    </row>
    <row r="5" spans="1:2">
      <c r="A5" s="33" t="s">
        <v>46</v>
      </c>
      <c r="B5" s="34">
        <v>2</v>
      </c>
    </row>
    <row r="6" spans="1:2">
      <c r="A6" s="33" t="s">
        <v>47</v>
      </c>
      <c r="B6" s="34">
        <v>6</v>
      </c>
    </row>
    <row r="7" spans="1:2">
      <c r="A7" s="33" t="s">
        <v>48</v>
      </c>
      <c r="B7" s="34">
        <v>15</v>
      </c>
    </row>
    <row r="8" spans="1:2">
      <c r="A8" s="33" t="s">
        <v>49</v>
      </c>
      <c r="B8" s="34">
        <v>3</v>
      </c>
    </row>
    <row r="9" spans="1:2">
      <c r="A9" s="33" t="s">
        <v>50</v>
      </c>
      <c r="B9" s="34">
        <v>15</v>
      </c>
    </row>
    <row r="10" spans="1:2">
      <c r="A10" s="33" t="s">
        <v>53</v>
      </c>
      <c r="B10" s="34">
        <v>2</v>
      </c>
    </row>
    <row r="11" spans="1:2">
      <c r="A11" s="33" t="s">
        <v>54</v>
      </c>
      <c r="B11" s="34">
        <v>41</v>
      </c>
    </row>
    <row r="12" spans="1:2">
      <c r="A12" s="33" t="s">
        <v>55</v>
      </c>
      <c r="B12" s="34">
        <v>14</v>
      </c>
    </row>
    <row r="13" spans="1:2">
      <c r="A13" s="33" t="s">
        <v>56</v>
      </c>
      <c r="B13" s="34">
        <v>9</v>
      </c>
    </row>
    <row r="14" spans="1:2">
      <c r="A14" s="33" t="s">
        <v>57</v>
      </c>
      <c r="B14" s="34">
        <v>49</v>
      </c>
    </row>
    <row r="15" spans="1:2">
      <c r="A15" s="33" t="s">
        <v>59</v>
      </c>
      <c r="B15" s="34">
        <v>2</v>
      </c>
    </row>
    <row r="16" spans="1:2">
      <c r="A16" s="33" t="s">
        <v>60</v>
      </c>
      <c r="B16" s="34">
        <v>26</v>
      </c>
    </row>
    <row r="17" spans="1:2">
      <c r="A17" s="33" t="s">
        <v>61</v>
      </c>
      <c r="B17" s="34">
        <v>5</v>
      </c>
    </row>
    <row r="18" spans="1:2">
      <c r="A18" s="33" t="s">
        <v>64</v>
      </c>
      <c r="B18" s="34">
        <v>11</v>
      </c>
    </row>
    <row r="19" spans="1:2">
      <c r="A19" s="33" t="s">
        <v>65</v>
      </c>
      <c r="B19" s="34">
        <v>52</v>
      </c>
    </row>
    <row r="20" spans="1:2">
      <c r="A20" s="33" t="s">
        <v>68</v>
      </c>
      <c r="B20" s="34">
        <v>37</v>
      </c>
    </row>
    <row r="21" spans="1:2">
      <c r="A21" s="33" t="s">
        <v>69</v>
      </c>
      <c r="B21" s="34">
        <v>32</v>
      </c>
    </row>
    <row r="22" spans="1:2">
      <c r="A22" s="33" t="s">
        <v>71</v>
      </c>
      <c r="B22" s="34">
        <v>28</v>
      </c>
    </row>
    <row r="23" spans="1:2">
      <c r="A23" s="33" t="s">
        <v>72</v>
      </c>
      <c r="B23" s="34">
        <v>26</v>
      </c>
    </row>
    <row r="24" spans="1:2">
      <c r="A24" s="33" t="s">
        <v>73</v>
      </c>
      <c r="B24" s="34">
        <v>13</v>
      </c>
    </row>
    <row r="25" spans="1:2">
      <c r="A25" s="33" t="s">
        <v>74</v>
      </c>
      <c r="B25" s="34">
        <v>2</v>
      </c>
    </row>
    <row r="26" spans="1:2">
      <c r="A26" s="33" t="s">
        <v>75</v>
      </c>
      <c r="B26" s="34">
        <v>2</v>
      </c>
    </row>
    <row r="27" spans="1:2">
      <c r="A27" s="33" t="s">
        <v>76</v>
      </c>
      <c r="B27" s="34">
        <v>2</v>
      </c>
    </row>
    <row r="28" spans="1:2">
      <c r="A28" s="33" t="s">
        <v>77</v>
      </c>
      <c r="B28" s="34">
        <v>9</v>
      </c>
    </row>
    <row r="29" spans="1:2">
      <c r="A29" s="33" t="s">
        <v>78</v>
      </c>
      <c r="B29" s="34">
        <v>11</v>
      </c>
    </row>
    <row r="30" spans="1:2">
      <c r="A30" s="33" t="s">
        <v>79</v>
      </c>
      <c r="B30" s="34">
        <v>14</v>
      </c>
    </row>
    <row r="31" spans="1:2">
      <c r="A31" s="33" t="s">
        <v>81</v>
      </c>
      <c r="B31" s="34">
        <v>5</v>
      </c>
    </row>
    <row r="32" spans="1:2">
      <c r="A32" s="33" t="s">
        <v>82</v>
      </c>
      <c r="B32" s="34">
        <v>12</v>
      </c>
    </row>
    <row r="33" spans="1:2">
      <c r="A33" s="33" t="s">
        <v>83</v>
      </c>
      <c r="B33" s="34">
        <v>2</v>
      </c>
    </row>
    <row r="34" spans="1:2">
      <c r="A34" s="33" t="s">
        <v>84</v>
      </c>
      <c r="B34" s="34">
        <v>3</v>
      </c>
    </row>
    <row r="35" spans="1:2">
      <c r="A35" s="33" t="s">
        <v>85</v>
      </c>
      <c r="B35" s="34">
        <v>2</v>
      </c>
    </row>
    <row r="36" spans="1:2">
      <c r="A36" s="33" t="s">
        <v>86</v>
      </c>
      <c r="B36" s="34">
        <v>1</v>
      </c>
    </row>
    <row r="37" spans="1:2">
      <c r="A37" s="33" t="s">
        <v>87</v>
      </c>
      <c r="B37" s="34">
        <v>2</v>
      </c>
    </row>
    <row r="38" spans="1:2">
      <c r="A38" s="33" t="s">
        <v>88</v>
      </c>
      <c r="B38" s="34">
        <v>3</v>
      </c>
    </row>
    <row r="39" spans="1:2">
      <c r="A39" s="33" t="s">
        <v>89</v>
      </c>
      <c r="B39" s="34">
        <v>2</v>
      </c>
    </row>
    <row r="40" spans="1:2">
      <c r="A40" s="33" t="s">
        <v>90</v>
      </c>
      <c r="B40" s="34">
        <v>2</v>
      </c>
    </row>
    <row r="41" spans="1:2">
      <c r="A41" s="33" t="s">
        <v>92</v>
      </c>
      <c r="B41" s="34">
        <v>3</v>
      </c>
    </row>
    <row r="42" spans="1:2">
      <c r="A42" s="33" t="s">
        <v>93</v>
      </c>
      <c r="B42" s="34">
        <v>2</v>
      </c>
    </row>
    <row r="43" spans="1:2">
      <c r="A43" s="33" t="s">
        <v>94</v>
      </c>
      <c r="B43" s="34">
        <v>1</v>
      </c>
    </row>
    <row r="44" spans="1:2">
      <c r="A44" s="33" t="s">
        <v>96</v>
      </c>
      <c r="B44" s="34">
        <v>2</v>
      </c>
    </row>
    <row r="45" spans="1:2">
      <c r="A45" s="33" t="s">
        <v>97</v>
      </c>
      <c r="B45" s="34">
        <v>4</v>
      </c>
    </row>
    <row r="46" spans="1:2">
      <c r="A46" s="33" t="s">
        <v>98</v>
      </c>
      <c r="B46" s="34">
        <v>3</v>
      </c>
    </row>
    <row r="47" spans="1:2">
      <c r="A47" s="33" t="s">
        <v>99</v>
      </c>
      <c r="B47" s="34">
        <v>15</v>
      </c>
    </row>
    <row r="48" spans="1:2">
      <c r="A48" s="33" t="s">
        <v>100</v>
      </c>
      <c r="B48" s="34">
        <v>4</v>
      </c>
    </row>
    <row r="49" spans="1:2">
      <c r="A49" s="33" t="s">
        <v>102</v>
      </c>
      <c r="B49" s="34">
        <v>2</v>
      </c>
    </row>
    <row r="50" spans="1:2">
      <c r="A50" s="33" t="s">
        <v>103</v>
      </c>
      <c r="B50" s="34">
        <v>2</v>
      </c>
    </row>
    <row r="51" spans="1:2">
      <c r="A51" s="33" t="s">
        <v>104</v>
      </c>
      <c r="B51" s="34">
        <v>2</v>
      </c>
    </row>
    <row r="52" spans="1:2">
      <c r="A52" s="33" t="s">
        <v>105</v>
      </c>
      <c r="B52" s="34">
        <v>3</v>
      </c>
    </row>
    <row r="53" spans="1:2">
      <c r="A53" s="33" t="s">
        <v>106</v>
      </c>
      <c r="B53" s="34">
        <v>8</v>
      </c>
    </row>
    <row r="54" spans="1:2">
      <c r="A54" s="33" t="s">
        <v>107</v>
      </c>
      <c r="B54" s="34">
        <v>5</v>
      </c>
    </row>
    <row r="55" spans="1:2">
      <c r="A55" s="33" t="s">
        <v>108</v>
      </c>
      <c r="B55" s="34">
        <v>9</v>
      </c>
    </row>
    <row r="56" spans="1:2">
      <c r="A56" s="33" t="s">
        <v>110</v>
      </c>
      <c r="B56" s="34">
        <v>6</v>
      </c>
    </row>
    <row r="57" spans="1:2">
      <c r="A57" s="33" t="s">
        <v>111</v>
      </c>
      <c r="B57" s="34">
        <v>14</v>
      </c>
    </row>
    <row r="58" spans="1:2">
      <c r="A58" s="33" t="s">
        <v>113</v>
      </c>
      <c r="B58" s="34">
        <v>9</v>
      </c>
    </row>
    <row r="59" spans="1:2">
      <c r="A59" s="33" t="s">
        <v>116</v>
      </c>
      <c r="B59" s="34">
        <v>9</v>
      </c>
    </row>
    <row r="60" spans="1:2">
      <c r="A60" s="33" t="s">
        <v>117</v>
      </c>
      <c r="B60" s="34">
        <v>3</v>
      </c>
    </row>
    <row r="61" spans="1:2">
      <c r="A61" s="33" t="s">
        <v>118</v>
      </c>
      <c r="B61" s="34">
        <v>8</v>
      </c>
    </row>
    <row r="62" spans="1:2">
      <c r="A62" s="33" t="s">
        <v>119</v>
      </c>
      <c r="B62" s="34">
        <v>6</v>
      </c>
    </row>
    <row r="63" spans="1:2">
      <c r="A63" s="33" t="s">
        <v>120</v>
      </c>
      <c r="B63" s="34">
        <v>8</v>
      </c>
    </row>
    <row r="64" spans="1:2">
      <c r="A64" s="33" t="s">
        <v>121</v>
      </c>
      <c r="B64" s="34">
        <v>17</v>
      </c>
    </row>
    <row r="65" spans="1:2">
      <c r="A65" s="33" t="s">
        <v>122</v>
      </c>
      <c r="B65" s="34">
        <v>7</v>
      </c>
    </row>
    <row r="66" spans="1:2">
      <c r="A66" s="33" t="s">
        <v>123</v>
      </c>
      <c r="B66" s="34">
        <v>13</v>
      </c>
    </row>
    <row r="67" spans="1:2">
      <c r="A67" s="33" t="s">
        <v>124</v>
      </c>
      <c r="B67" s="34">
        <v>14</v>
      </c>
    </row>
    <row r="68" spans="1:2">
      <c r="A68" s="33" t="s">
        <v>126</v>
      </c>
      <c r="B68" s="34">
        <v>4</v>
      </c>
    </row>
    <row r="69" spans="1:2">
      <c r="A69" s="33" t="s">
        <v>128</v>
      </c>
      <c r="B69" s="34">
        <v>12</v>
      </c>
    </row>
    <row r="70" spans="1:2">
      <c r="A70" s="33" t="s">
        <v>131</v>
      </c>
      <c r="B70" s="34">
        <v>7</v>
      </c>
    </row>
    <row r="71" spans="1:2">
      <c r="A71" s="33" t="s">
        <v>132</v>
      </c>
      <c r="B71" s="34">
        <v>2</v>
      </c>
    </row>
    <row r="72" spans="1:2">
      <c r="A72" s="33" t="s">
        <v>133</v>
      </c>
      <c r="B72" s="34">
        <v>4</v>
      </c>
    </row>
    <row r="73" spans="1:2">
      <c r="A73" s="33" t="s">
        <v>134</v>
      </c>
      <c r="B73" s="34">
        <v>6</v>
      </c>
    </row>
    <row r="74" spans="1:2">
      <c r="A74" s="33" t="s">
        <v>136</v>
      </c>
      <c r="B74" s="34">
        <v>10</v>
      </c>
    </row>
    <row r="75" spans="1:2">
      <c r="A75" s="33" t="s">
        <v>137</v>
      </c>
      <c r="B75" s="34">
        <v>2</v>
      </c>
    </row>
    <row r="76" spans="1:2">
      <c r="A76" s="33" t="s">
        <v>138</v>
      </c>
      <c r="B76" s="34">
        <v>1</v>
      </c>
    </row>
    <row r="77" spans="1:2">
      <c r="A77" s="33" t="s">
        <v>139</v>
      </c>
      <c r="B77" s="34">
        <v>4</v>
      </c>
    </row>
    <row r="78" spans="1:2">
      <c r="A78" s="33" t="s">
        <v>141</v>
      </c>
      <c r="B78" s="34">
        <v>3</v>
      </c>
    </row>
    <row r="79" spans="1:2">
      <c r="A79" s="33" t="s">
        <v>142</v>
      </c>
      <c r="B79" s="34">
        <v>12</v>
      </c>
    </row>
    <row r="80" spans="1:2">
      <c r="A80" s="33" t="s">
        <v>144</v>
      </c>
      <c r="B80" s="34">
        <v>20</v>
      </c>
    </row>
    <row r="81" spans="1:2">
      <c r="A81" s="33" t="s">
        <v>145</v>
      </c>
      <c r="B81" s="34">
        <v>50</v>
      </c>
    </row>
    <row r="82" spans="1:2">
      <c r="A82" s="33" t="s">
        <v>146</v>
      </c>
      <c r="B82" s="34">
        <v>1</v>
      </c>
    </row>
    <row r="83" spans="1:2">
      <c r="A83" s="33" t="s">
        <v>147</v>
      </c>
      <c r="B83" s="34">
        <v>29</v>
      </c>
    </row>
    <row r="84" spans="1:2">
      <c r="A84" s="33" t="s">
        <v>149</v>
      </c>
      <c r="B84" s="34">
        <v>25</v>
      </c>
    </row>
    <row r="85" spans="1:2">
      <c r="A85" s="33" t="s">
        <v>150</v>
      </c>
      <c r="B85" s="34">
        <v>23</v>
      </c>
    </row>
    <row r="86" spans="1:2">
      <c r="A86" s="33" t="s">
        <v>151</v>
      </c>
      <c r="B86" s="34">
        <v>10</v>
      </c>
    </row>
    <row r="87" spans="1:2">
      <c r="A87" s="33" t="s">
        <v>152</v>
      </c>
      <c r="B87" s="34">
        <v>6</v>
      </c>
    </row>
    <row r="88" spans="1:2">
      <c r="A88" s="33" t="s">
        <v>153</v>
      </c>
      <c r="B88" s="34">
        <v>3</v>
      </c>
    </row>
    <row r="89" spans="1:2">
      <c r="A89" s="33" t="s">
        <v>172</v>
      </c>
      <c r="B89" s="34">
        <v>1</v>
      </c>
    </row>
    <row r="90" spans="1:2">
      <c r="A90" s="33" t="s">
        <v>154</v>
      </c>
      <c r="B90" s="34">
        <v>10</v>
      </c>
    </row>
    <row r="91" spans="1:2">
      <c r="A91" s="33" t="s">
        <v>157</v>
      </c>
      <c r="B91" s="34">
        <v>7</v>
      </c>
    </row>
    <row r="92" spans="1:2">
      <c r="A92" s="33" t="s">
        <v>158</v>
      </c>
      <c r="B92" s="34">
        <v>3</v>
      </c>
    </row>
    <row r="93" spans="1:2">
      <c r="A93" s="33" t="s">
        <v>159</v>
      </c>
      <c r="B93" s="34">
        <v>4</v>
      </c>
    </row>
    <row r="94" spans="1:2">
      <c r="A94" s="33" t="s">
        <v>160</v>
      </c>
      <c r="B94" s="34">
        <v>8</v>
      </c>
    </row>
    <row r="95" spans="1:2">
      <c r="A95" s="33" t="s">
        <v>161</v>
      </c>
      <c r="B95" s="34">
        <v>10</v>
      </c>
    </row>
    <row r="96" spans="1:2">
      <c r="A96" s="33" t="s">
        <v>163</v>
      </c>
      <c r="B96" s="34">
        <v>7</v>
      </c>
    </row>
    <row r="97" spans="1:2">
      <c r="A97" s="33" t="s">
        <v>164</v>
      </c>
      <c r="B97" s="34">
        <v>1</v>
      </c>
    </row>
    <row r="98" spans="1:2">
      <c r="A98" s="33" t="s">
        <v>166</v>
      </c>
      <c r="B98" s="34">
        <v>4</v>
      </c>
    </row>
    <row r="99" spans="1:2">
      <c r="A99" s="33" t="s">
        <v>168</v>
      </c>
      <c r="B99" s="34">
        <v>9</v>
      </c>
    </row>
    <row r="100" spans="1:2">
      <c r="A100" s="33" t="s">
        <v>169</v>
      </c>
      <c r="B100" s="34">
        <v>5</v>
      </c>
    </row>
    <row r="101" spans="1:2">
      <c r="A101" s="33" t="s">
        <v>170</v>
      </c>
      <c r="B101" s="34">
        <v>7</v>
      </c>
    </row>
    <row r="102" spans="1:2">
      <c r="A102" s="33" t="s">
        <v>171</v>
      </c>
      <c r="B102" s="34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workbookViewId="0">
      <selection sqref="A1:B1"/>
    </sheetView>
  </sheetViews>
  <sheetFormatPr defaultColWidth="9.5703125" defaultRowHeight="15"/>
  <cols>
    <col min="1" max="1" width="11" style="58" bestFit="1" customWidth="1"/>
    <col min="2" max="2" width="15" style="58" bestFit="1" customWidth="1"/>
    <col min="3" max="3" width="38.7109375" style="76" bestFit="1" customWidth="1"/>
    <col min="4" max="5" width="10.5703125" style="58" customWidth="1"/>
    <col min="6" max="6" width="6.42578125" style="58" bestFit="1" customWidth="1"/>
    <col min="7" max="7" width="8.5703125" style="58" bestFit="1" customWidth="1"/>
    <col min="8" max="8" width="36" style="58" customWidth="1"/>
    <col min="9" max="16384" width="9.5703125" style="58"/>
  </cols>
  <sheetData>
    <row r="2" spans="1:9" ht="45">
      <c r="A2" s="55" t="s">
        <v>236</v>
      </c>
      <c r="B2" s="56" t="s">
        <v>237</v>
      </c>
      <c r="C2" s="57" t="s">
        <v>173</v>
      </c>
      <c r="D2" s="56" t="s">
        <v>238</v>
      </c>
      <c r="E2" s="55" t="s">
        <v>239</v>
      </c>
      <c r="F2" s="56" t="s">
        <v>240</v>
      </c>
      <c r="G2" s="56" t="s">
        <v>20</v>
      </c>
      <c r="H2" s="55" t="s">
        <v>241</v>
      </c>
    </row>
    <row r="3" spans="1:9">
      <c r="A3" s="59" t="s">
        <v>242</v>
      </c>
      <c r="B3" s="59" t="s">
        <v>243</v>
      </c>
      <c r="C3" s="60" t="s">
        <v>51</v>
      </c>
      <c r="D3" s="61">
        <v>48.710388528170043</v>
      </c>
      <c r="E3" s="61">
        <v>48.710388528170043</v>
      </c>
      <c r="F3" s="62">
        <v>1</v>
      </c>
      <c r="G3" s="63">
        <v>10365</v>
      </c>
      <c r="H3" s="64" t="s">
        <v>244</v>
      </c>
    </row>
    <row r="4" spans="1:9">
      <c r="A4" s="65" t="s">
        <v>246</v>
      </c>
      <c r="B4" s="65" t="s">
        <v>247</v>
      </c>
      <c r="C4" s="66" t="s">
        <v>160</v>
      </c>
      <c r="D4" s="67">
        <v>60.703179867342961</v>
      </c>
      <c r="E4" s="67">
        <v>60.703179867342961</v>
      </c>
      <c r="F4" s="68">
        <v>2</v>
      </c>
      <c r="G4" s="69">
        <v>27000</v>
      </c>
      <c r="H4" s="70" t="s">
        <v>244</v>
      </c>
    </row>
    <row r="5" spans="1:9">
      <c r="A5" s="59" t="s">
        <v>246</v>
      </c>
      <c r="B5" s="59" t="s">
        <v>247</v>
      </c>
      <c r="C5" s="60" t="s">
        <v>163</v>
      </c>
      <c r="D5" s="61">
        <v>53.307313421073367</v>
      </c>
      <c r="E5" s="61">
        <v>53.307313421073367</v>
      </c>
      <c r="F5" s="62">
        <v>2</v>
      </c>
      <c r="G5" s="63">
        <v>17005</v>
      </c>
      <c r="H5" s="64" t="s">
        <v>244</v>
      </c>
    </row>
    <row r="6" spans="1:9" ht="28.5">
      <c r="A6" s="65" t="s">
        <v>246</v>
      </c>
      <c r="B6" s="65" t="s">
        <v>243</v>
      </c>
      <c r="C6" s="66" t="s">
        <v>289</v>
      </c>
      <c r="D6" s="67">
        <v>53.560955531894301</v>
      </c>
      <c r="E6" s="67">
        <v>53.560955531894301</v>
      </c>
      <c r="F6" s="68">
        <v>3</v>
      </c>
      <c r="G6" s="69">
        <v>21555</v>
      </c>
      <c r="H6" s="70" t="s">
        <v>244</v>
      </c>
    </row>
    <row r="7" spans="1:9">
      <c r="A7" s="59" t="s">
        <v>248</v>
      </c>
      <c r="B7" s="59" t="s">
        <v>243</v>
      </c>
      <c r="C7" s="60" t="s">
        <v>67</v>
      </c>
      <c r="D7" s="61">
        <v>86.727322828282837</v>
      </c>
      <c r="E7" s="61">
        <v>86.727322828282837</v>
      </c>
      <c r="F7" s="62">
        <v>0.32</v>
      </c>
      <c r="G7" s="63">
        <v>1528</v>
      </c>
      <c r="H7" s="64" t="s">
        <v>244</v>
      </c>
      <c r="I7" s="80" t="s">
        <v>245</v>
      </c>
    </row>
    <row r="8" spans="1:9">
      <c r="A8" s="65" t="s">
        <v>249</v>
      </c>
      <c r="B8" s="65" t="s">
        <v>243</v>
      </c>
      <c r="C8" s="66" t="s">
        <v>42</v>
      </c>
      <c r="D8" s="67">
        <v>59.806442528646045</v>
      </c>
      <c r="E8" s="67">
        <v>59.806442528646045</v>
      </c>
      <c r="F8" s="68">
        <v>6</v>
      </c>
      <c r="G8" s="69">
        <v>10967</v>
      </c>
      <c r="H8" s="70" t="s">
        <v>244</v>
      </c>
      <c r="I8" s="80" t="s">
        <v>245</v>
      </c>
    </row>
    <row r="9" spans="1:9">
      <c r="A9" s="59" t="s">
        <v>249</v>
      </c>
      <c r="B9" s="59" t="s">
        <v>243</v>
      </c>
      <c r="C9" s="60" t="s">
        <v>62</v>
      </c>
      <c r="D9" s="61">
        <v>105.09753872282609</v>
      </c>
      <c r="E9" s="61">
        <v>105.09753872282609</v>
      </c>
      <c r="F9" s="62">
        <v>3</v>
      </c>
      <c r="G9" s="63">
        <v>857</v>
      </c>
      <c r="H9" s="64" t="s">
        <v>244</v>
      </c>
      <c r="I9" s="80" t="s">
        <v>245</v>
      </c>
    </row>
    <row r="10" spans="1:9">
      <c r="A10" s="65" t="s">
        <v>249</v>
      </c>
      <c r="B10" s="65" t="s">
        <v>243</v>
      </c>
      <c r="C10" s="66" t="s">
        <v>67</v>
      </c>
      <c r="D10" s="67">
        <v>86.727322828282837</v>
      </c>
      <c r="E10" s="67">
        <v>86.727322828282837</v>
      </c>
      <c r="F10" s="68">
        <v>6</v>
      </c>
      <c r="G10" s="69">
        <v>6232</v>
      </c>
      <c r="H10" s="70" t="s">
        <v>244</v>
      </c>
      <c r="I10" s="80" t="s">
        <v>245</v>
      </c>
    </row>
    <row r="11" spans="1:9">
      <c r="A11" s="59" t="s">
        <v>249</v>
      </c>
      <c r="B11" s="59" t="s">
        <v>250</v>
      </c>
      <c r="C11" s="60" t="s">
        <v>251</v>
      </c>
      <c r="D11" s="61">
        <v>46.84</v>
      </c>
      <c r="E11" s="61">
        <v>46.84</v>
      </c>
      <c r="F11" s="62">
        <v>22</v>
      </c>
      <c r="G11" s="63">
        <v>65419</v>
      </c>
      <c r="H11" s="64" t="s">
        <v>244</v>
      </c>
      <c r="I11" s="80" t="s">
        <v>245</v>
      </c>
    </row>
    <row r="12" spans="1:9">
      <c r="A12" s="65" t="s">
        <v>249</v>
      </c>
      <c r="B12" s="65" t="s">
        <v>243</v>
      </c>
      <c r="C12" s="66" t="s">
        <v>292</v>
      </c>
      <c r="D12" s="67">
        <v>88.896599128899368</v>
      </c>
      <c r="E12" s="67">
        <v>88.896599128899368</v>
      </c>
      <c r="F12" s="68">
        <v>6</v>
      </c>
      <c r="G12" s="69">
        <v>9510</v>
      </c>
      <c r="H12" s="70" t="s">
        <v>244</v>
      </c>
      <c r="I12" s="80" t="s">
        <v>245</v>
      </c>
    </row>
    <row r="13" spans="1:9" ht="28.5">
      <c r="A13" s="59" t="s">
        <v>252</v>
      </c>
      <c r="B13" s="59" t="s">
        <v>253</v>
      </c>
      <c r="C13" s="60" t="s">
        <v>281</v>
      </c>
      <c r="D13" s="61">
        <v>39.909999999999997</v>
      </c>
      <c r="E13" s="61">
        <v>39.909999999999997</v>
      </c>
      <c r="F13" s="62">
        <v>2</v>
      </c>
      <c r="G13" s="63">
        <v>13381</v>
      </c>
      <c r="H13" s="64" t="s">
        <v>244</v>
      </c>
      <c r="I13" s="80" t="s">
        <v>245</v>
      </c>
    </row>
    <row r="14" spans="1:9">
      <c r="A14" s="65" t="s">
        <v>252</v>
      </c>
      <c r="B14" s="65" t="s">
        <v>253</v>
      </c>
      <c r="C14" s="66" t="s">
        <v>85</v>
      </c>
      <c r="D14" s="67">
        <v>45.85</v>
      </c>
      <c r="E14" s="67">
        <v>45.85</v>
      </c>
      <c r="F14" s="68">
        <v>3</v>
      </c>
      <c r="G14" s="69">
        <v>18966</v>
      </c>
      <c r="H14" s="70" t="s">
        <v>244</v>
      </c>
      <c r="I14" s="80" t="s">
        <v>245</v>
      </c>
    </row>
    <row r="15" spans="1:9">
      <c r="A15" s="59" t="s">
        <v>252</v>
      </c>
      <c r="B15" s="59" t="s">
        <v>253</v>
      </c>
      <c r="C15" s="60" t="s">
        <v>86</v>
      </c>
      <c r="D15" s="61">
        <v>56.78</v>
      </c>
      <c r="E15" s="61">
        <v>56.78</v>
      </c>
      <c r="F15" s="62">
        <v>1</v>
      </c>
      <c r="G15" s="63">
        <v>2746</v>
      </c>
      <c r="H15" s="64" t="s">
        <v>244</v>
      </c>
      <c r="I15" s="80" t="s">
        <v>245</v>
      </c>
    </row>
    <row r="16" spans="1:9" ht="28.5">
      <c r="A16" s="65" t="s">
        <v>252</v>
      </c>
      <c r="B16" s="65" t="s">
        <v>254</v>
      </c>
      <c r="C16" s="66" t="s">
        <v>84</v>
      </c>
      <c r="D16" s="67">
        <v>37.15</v>
      </c>
      <c r="E16" s="67">
        <v>37.15</v>
      </c>
      <c r="F16" s="68">
        <v>3</v>
      </c>
      <c r="G16" s="69">
        <v>26970</v>
      </c>
      <c r="H16" s="70" t="s">
        <v>244</v>
      </c>
      <c r="I16" s="80" t="s">
        <v>245</v>
      </c>
    </row>
    <row r="17" spans="1:9">
      <c r="A17" s="59" t="s">
        <v>255</v>
      </c>
      <c r="B17" s="59" t="s">
        <v>254</v>
      </c>
      <c r="C17" s="60" t="s">
        <v>256</v>
      </c>
      <c r="D17" s="61">
        <v>54.56</v>
      </c>
      <c r="E17" s="61">
        <v>54.56</v>
      </c>
      <c r="F17" s="62">
        <v>1</v>
      </c>
      <c r="G17" s="63">
        <v>4803</v>
      </c>
      <c r="H17" s="64" t="s">
        <v>244</v>
      </c>
      <c r="I17" s="80" t="s">
        <v>245</v>
      </c>
    </row>
    <row r="18" spans="1:9">
      <c r="A18" s="59" t="s">
        <v>257</v>
      </c>
      <c r="B18" s="59" t="s">
        <v>247</v>
      </c>
      <c r="C18" s="60" t="s">
        <v>100</v>
      </c>
      <c r="D18" s="61">
        <v>38.91984010098885</v>
      </c>
      <c r="E18" s="61">
        <v>38.91984010098885</v>
      </c>
      <c r="F18" s="62">
        <v>8</v>
      </c>
      <c r="G18" s="63">
        <v>50222</v>
      </c>
      <c r="H18" s="64" t="s">
        <v>244</v>
      </c>
      <c r="I18" s="80" t="s">
        <v>245</v>
      </c>
    </row>
    <row r="19" spans="1:9">
      <c r="A19" s="65" t="s">
        <v>258</v>
      </c>
      <c r="B19" s="65" t="s">
        <v>243</v>
      </c>
      <c r="C19" s="66" t="s">
        <v>138</v>
      </c>
      <c r="D19" s="67">
        <v>55.03953637030056</v>
      </c>
      <c r="E19" s="67">
        <v>68.799420462875702</v>
      </c>
      <c r="F19" s="68">
        <v>2</v>
      </c>
      <c r="G19" s="69">
        <v>3765</v>
      </c>
      <c r="H19" s="70" t="s">
        <v>244</v>
      </c>
      <c r="I19" s="80" t="s">
        <v>245</v>
      </c>
    </row>
    <row r="20" spans="1:9" ht="28.5">
      <c r="A20" s="59" t="s">
        <v>259</v>
      </c>
      <c r="B20" s="59" t="s">
        <v>243</v>
      </c>
      <c r="C20" s="60" t="s">
        <v>290</v>
      </c>
      <c r="D20" s="61">
        <v>53.881193275130947</v>
      </c>
      <c r="E20" s="61">
        <v>53.881193275130947</v>
      </c>
      <c r="F20" s="62">
        <v>2</v>
      </c>
      <c r="G20" s="63">
        <v>8100</v>
      </c>
      <c r="H20" s="64" t="s">
        <v>244</v>
      </c>
      <c r="I20" s="80" t="s">
        <v>245</v>
      </c>
    </row>
    <row r="21" spans="1:9">
      <c r="A21" s="65" t="s">
        <v>260</v>
      </c>
      <c r="B21" s="65" t="s">
        <v>250</v>
      </c>
      <c r="C21" s="66" t="s">
        <v>114</v>
      </c>
      <c r="D21" s="67">
        <v>64.23</v>
      </c>
      <c r="E21" s="67">
        <v>80.28</v>
      </c>
      <c r="F21" s="68">
        <v>2</v>
      </c>
      <c r="G21" s="69">
        <v>5854</v>
      </c>
      <c r="H21" s="70" t="s">
        <v>244</v>
      </c>
      <c r="I21" s="80" t="s">
        <v>245</v>
      </c>
    </row>
    <row r="22" spans="1:9">
      <c r="A22" s="59" t="s">
        <v>171</v>
      </c>
      <c r="B22" s="59" t="s">
        <v>243</v>
      </c>
      <c r="C22" s="60" t="s">
        <v>141</v>
      </c>
      <c r="D22" s="61">
        <v>57.09803110288739</v>
      </c>
      <c r="E22" s="61">
        <v>71.372538878609234</v>
      </c>
      <c r="F22" s="62">
        <v>3</v>
      </c>
      <c r="G22" s="63">
        <v>13500</v>
      </c>
      <c r="H22" s="64" t="s">
        <v>244</v>
      </c>
      <c r="I22" s="80" t="s">
        <v>245</v>
      </c>
    </row>
    <row r="23" spans="1:9">
      <c r="A23" s="65" t="s">
        <v>260</v>
      </c>
      <c r="B23" s="65" t="s">
        <v>247</v>
      </c>
      <c r="C23" s="66" t="s">
        <v>157</v>
      </c>
      <c r="D23" s="67">
        <v>52.441131237183868</v>
      </c>
      <c r="E23" s="67">
        <v>52.441131237183868</v>
      </c>
      <c r="F23" s="68">
        <v>2</v>
      </c>
      <c r="G23" s="69">
        <v>12257</v>
      </c>
      <c r="H23" s="70" t="s">
        <v>261</v>
      </c>
      <c r="I23" s="80" t="s">
        <v>245</v>
      </c>
    </row>
    <row r="24" spans="1:9">
      <c r="A24" s="59" t="s">
        <v>242</v>
      </c>
      <c r="B24" s="59" t="s">
        <v>247</v>
      </c>
      <c r="C24" s="60" t="s">
        <v>53</v>
      </c>
      <c r="D24" s="61">
        <v>49.78</v>
      </c>
      <c r="E24" s="71">
        <v>49.78</v>
      </c>
      <c r="F24" s="62">
        <v>2.85</v>
      </c>
      <c r="G24" s="63">
        <v>16802</v>
      </c>
      <c r="H24" s="64" t="s">
        <v>263</v>
      </c>
      <c r="I24" s="80" t="s">
        <v>245</v>
      </c>
    </row>
    <row r="25" spans="1:9">
      <c r="A25" s="65" t="s">
        <v>248</v>
      </c>
      <c r="B25" s="65" t="s">
        <v>243</v>
      </c>
      <c r="C25" s="66" t="s">
        <v>59</v>
      </c>
      <c r="D25" s="67">
        <v>43.34</v>
      </c>
      <c r="E25" s="72">
        <v>43.34</v>
      </c>
      <c r="F25" s="68">
        <v>2</v>
      </c>
      <c r="G25" s="69">
        <v>14017</v>
      </c>
      <c r="H25" s="70" t="s">
        <v>263</v>
      </c>
      <c r="I25" s="80" t="s">
        <v>245</v>
      </c>
    </row>
    <row r="26" spans="1:9">
      <c r="A26" s="59" t="s">
        <v>248</v>
      </c>
      <c r="B26" s="59" t="s">
        <v>247</v>
      </c>
      <c r="C26" s="60" t="s">
        <v>291</v>
      </c>
      <c r="D26" s="61">
        <v>50.6</v>
      </c>
      <c r="E26" s="71">
        <v>50.6</v>
      </c>
      <c r="F26" s="62">
        <v>4</v>
      </c>
      <c r="G26" s="63">
        <v>3535</v>
      </c>
      <c r="H26" s="64" t="s">
        <v>263</v>
      </c>
      <c r="I26" s="80" t="s">
        <v>245</v>
      </c>
    </row>
    <row r="27" spans="1:9">
      <c r="A27" s="65" t="s">
        <v>242</v>
      </c>
      <c r="B27" s="65" t="s">
        <v>262</v>
      </c>
      <c r="C27" s="66" t="s">
        <v>117</v>
      </c>
      <c r="D27" s="67">
        <v>81.3</v>
      </c>
      <c r="E27" s="67">
        <v>81.3</v>
      </c>
      <c r="F27" s="68">
        <v>13</v>
      </c>
      <c r="G27" s="69">
        <v>72000</v>
      </c>
      <c r="H27" s="73" t="s">
        <v>265</v>
      </c>
      <c r="I27" s="80" t="s">
        <v>245</v>
      </c>
    </row>
    <row r="28" spans="1:9" ht="30">
      <c r="A28" s="59" t="s">
        <v>264</v>
      </c>
      <c r="B28" s="59" t="s">
        <v>243</v>
      </c>
      <c r="C28" s="60" t="s">
        <v>284</v>
      </c>
      <c r="D28" s="61">
        <v>126.47761629240001</v>
      </c>
      <c r="E28" s="71">
        <v>126.47761629240001</v>
      </c>
      <c r="F28" s="62">
        <v>2</v>
      </c>
      <c r="G28" s="63">
        <v>12686</v>
      </c>
      <c r="H28" s="74" t="s">
        <v>266</v>
      </c>
      <c r="I28" s="80" t="s">
        <v>245</v>
      </c>
    </row>
    <row r="29" spans="1:9">
      <c r="A29" s="65" t="s">
        <v>258</v>
      </c>
      <c r="B29" s="65" t="s">
        <v>243</v>
      </c>
      <c r="C29" s="66" t="s">
        <v>126</v>
      </c>
      <c r="D29" s="67">
        <v>79.879612379935963</v>
      </c>
      <c r="E29" s="67">
        <v>79.879612379935963</v>
      </c>
      <c r="F29" s="68">
        <v>1</v>
      </c>
      <c r="G29" s="69">
        <v>7309</v>
      </c>
      <c r="H29" s="75" t="s">
        <v>267</v>
      </c>
      <c r="I29" s="80" t="s">
        <v>245</v>
      </c>
    </row>
  </sheetData>
  <pageMargins left="0.7" right="0.7" top="0.75" bottom="0.75" header="0.3" footer="0.3"/>
  <pageSetup paperSize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sqref="A1:B1"/>
    </sheetView>
  </sheetViews>
  <sheetFormatPr defaultColWidth="8.7109375" defaultRowHeight="15"/>
  <cols>
    <col min="1" max="1" width="44.42578125" style="22" bestFit="1" customWidth="1"/>
    <col min="2" max="2" width="23.7109375" style="22" bestFit="1" customWidth="1"/>
    <col min="3" max="3" width="8.7109375" style="31"/>
    <col min="4" max="16384" width="8.7109375" style="22"/>
  </cols>
  <sheetData>
    <row r="1" spans="1:3">
      <c r="A1" s="22" t="s">
        <v>173</v>
      </c>
      <c r="B1" s="22" t="s">
        <v>174</v>
      </c>
    </row>
    <row r="2" spans="1:3">
      <c r="A2" s="35" t="s">
        <v>42</v>
      </c>
      <c r="B2" s="22" t="s">
        <v>40</v>
      </c>
      <c r="C2" s="31">
        <v>49.2</v>
      </c>
    </row>
    <row r="3" spans="1:3">
      <c r="A3" s="36" t="s">
        <v>43</v>
      </c>
      <c r="B3" s="22" t="s">
        <v>40</v>
      </c>
      <c r="C3" s="31">
        <v>49.099999999999945</v>
      </c>
    </row>
    <row r="4" spans="1:3">
      <c r="A4" s="35" t="s">
        <v>53</v>
      </c>
      <c r="B4" s="22" t="s">
        <v>40</v>
      </c>
      <c r="C4" s="31">
        <v>45.31</v>
      </c>
    </row>
    <row r="5" spans="1:3">
      <c r="A5" s="35" t="s">
        <v>59</v>
      </c>
      <c r="B5" s="22" t="s">
        <v>40</v>
      </c>
      <c r="C5" s="31">
        <v>39.71</v>
      </c>
    </row>
    <row r="6" spans="1:3">
      <c r="A6" s="35" t="s">
        <v>76</v>
      </c>
      <c r="B6" s="22" t="s">
        <v>40</v>
      </c>
      <c r="C6" s="31">
        <v>46.5</v>
      </c>
    </row>
    <row r="7" spans="1:3">
      <c r="A7" s="35" t="s">
        <v>84</v>
      </c>
      <c r="B7" s="22" t="s">
        <v>40</v>
      </c>
      <c r="C7" s="31">
        <v>34.943333333333335</v>
      </c>
    </row>
    <row r="8" spans="1:3">
      <c r="A8" s="35" t="s">
        <v>85</v>
      </c>
      <c r="B8" s="22" t="s">
        <v>40</v>
      </c>
      <c r="C8" s="31">
        <v>43.13</v>
      </c>
    </row>
    <row r="9" spans="1:3">
      <c r="A9" s="35" t="s">
        <v>86</v>
      </c>
      <c r="B9" s="22" t="s">
        <v>40</v>
      </c>
      <c r="C9" s="31">
        <v>32.929999999999993</v>
      </c>
    </row>
    <row r="10" spans="1:3">
      <c r="A10" s="35" t="s">
        <v>87</v>
      </c>
      <c r="B10" s="22" t="s">
        <v>40</v>
      </c>
      <c r="C10" s="31">
        <v>34.47</v>
      </c>
    </row>
    <row r="11" spans="1:3">
      <c r="A11" s="35" t="s">
        <v>94</v>
      </c>
      <c r="B11" s="22" t="s">
        <v>40</v>
      </c>
      <c r="C11" s="31">
        <v>43.580000000000005</v>
      </c>
    </row>
    <row r="12" spans="1:3">
      <c r="A12" s="35" t="s">
        <v>102</v>
      </c>
      <c r="B12" s="22" t="s">
        <v>40</v>
      </c>
      <c r="C12" s="31">
        <v>36.22</v>
      </c>
    </row>
    <row r="13" spans="1:3">
      <c r="A13" s="35" t="s">
        <v>103</v>
      </c>
      <c r="B13" s="22" t="s">
        <v>40</v>
      </c>
      <c r="C13" s="31">
        <v>36.22</v>
      </c>
    </row>
    <row r="14" spans="1:3">
      <c r="A14" s="35" t="s">
        <v>104</v>
      </c>
      <c r="B14" s="22" t="s">
        <v>40</v>
      </c>
      <c r="C14" s="31">
        <v>36.22</v>
      </c>
    </row>
    <row r="15" spans="1:3">
      <c r="A15" s="35" t="s">
        <v>105</v>
      </c>
      <c r="B15" s="22" t="s">
        <v>40</v>
      </c>
      <c r="C15" s="31">
        <v>36.22</v>
      </c>
    </row>
    <row r="16" spans="1:3">
      <c r="A16" s="35" t="s">
        <v>107</v>
      </c>
      <c r="B16" s="22" t="s">
        <v>40</v>
      </c>
      <c r="C16" s="31">
        <v>57.019999999999996</v>
      </c>
    </row>
    <row r="17" spans="1:3">
      <c r="A17" s="36" t="s">
        <v>111</v>
      </c>
      <c r="B17" s="22" t="s">
        <v>40</v>
      </c>
      <c r="C17" s="31">
        <v>49.100000000000016</v>
      </c>
    </row>
    <row r="18" spans="1:3">
      <c r="A18" s="37" t="s">
        <v>175</v>
      </c>
      <c r="B18" s="22" t="s">
        <v>40</v>
      </c>
      <c r="C18" s="31" t="s">
        <v>176</v>
      </c>
    </row>
    <row r="19" spans="1:3">
      <c r="A19" s="35" t="s">
        <v>117</v>
      </c>
      <c r="B19" s="22" t="s">
        <v>40</v>
      </c>
      <c r="C19" s="31">
        <v>58.81</v>
      </c>
    </row>
    <row r="20" spans="1:3">
      <c r="A20" s="35" t="s">
        <v>122</v>
      </c>
      <c r="B20" s="22" t="s">
        <v>40</v>
      </c>
      <c r="C20" s="31">
        <v>34.270000000000003</v>
      </c>
    </row>
    <row r="21" spans="1:3">
      <c r="A21" s="35" t="s">
        <v>126</v>
      </c>
      <c r="B21" s="22" t="s">
        <v>40</v>
      </c>
      <c r="C21" s="31">
        <v>60.76</v>
      </c>
    </row>
    <row r="22" spans="1:3">
      <c r="A22" s="35" t="s">
        <v>138</v>
      </c>
      <c r="B22" s="22" t="s">
        <v>40</v>
      </c>
      <c r="C22" s="31">
        <v>45.59</v>
      </c>
    </row>
    <row r="23" spans="1:3">
      <c r="A23" s="35" t="s">
        <v>141</v>
      </c>
      <c r="B23" s="22" t="s">
        <v>40</v>
      </c>
      <c r="C23" s="31">
        <v>34.27000000000001</v>
      </c>
    </row>
    <row r="24" spans="1:3">
      <c r="A24" s="35" t="s">
        <v>164</v>
      </c>
      <c r="B24" s="22" t="s">
        <v>40</v>
      </c>
      <c r="C24" s="31">
        <v>40.739999999999995</v>
      </c>
    </row>
    <row r="25" spans="1:3">
      <c r="A25" s="35" t="s">
        <v>169</v>
      </c>
      <c r="B25" s="22" t="s">
        <v>40</v>
      </c>
      <c r="C25" s="31">
        <v>40.739999999999995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4"/>
  <sheetViews>
    <sheetView workbookViewId="0">
      <selection sqref="A1:B1"/>
    </sheetView>
  </sheetViews>
  <sheetFormatPr defaultRowHeight="12.75"/>
  <sheetData>
    <row r="1" spans="1:2">
      <c r="A1" t="s">
        <v>25</v>
      </c>
      <c r="B1" t="s">
        <v>235</v>
      </c>
    </row>
    <row r="2" spans="1:2">
      <c r="A2" t="s">
        <v>42</v>
      </c>
      <c r="B2">
        <v>61.175445623873422</v>
      </c>
    </row>
    <row r="3" spans="1:2">
      <c r="A3" t="s">
        <v>44</v>
      </c>
      <c r="B3">
        <v>83.935873255375341</v>
      </c>
    </row>
    <row r="4" spans="1:2">
      <c r="A4" t="s">
        <v>45</v>
      </c>
      <c r="B4">
        <v>41.775672810587153</v>
      </c>
    </row>
    <row r="5" spans="1:2">
      <c r="A5" t="s">
        <v>46</v>
      </c>
      <c r="B5">
        <v>50.651794413770709</v>
      </c>
    </row>
    <row r="6" spans="1:2">
      <c r="A6" t="s">
        <v>47</v>
      </c>
      <c r="B6">
        <v>45.885778194674934</v>
      </c>
    </row>
    <row r="7" spans="1:2">
      <c r="A7" t="s">
        <v>48</v>
      </c>
      <c r="B7">
        <v>44.944835792479779</v>
      </c>
    </row>
    <row r="8" spans="1:2">
      <c r="A8" t="s">
        <v>49</v>
      </c>
      <c r="B8">
        <v>66.138417130965962</v>
      </c>
    </row>
    <row r="9" spans="1:2">
      <c r="A9" t="s">
        <v>50</v>
      </c>
      <c r="B9">
        <v>49.784257171325187</v>
      </c>
    </row>
    <row r="10" spans="1:2">
      <c r="A10" t="s">
        <v>51</v>
      </c>
      <c r="B10">
        <v>38.91984010098885</v>
      </c>
    </row>
    <row r="11" spans="1:2">
      <c r="A11" t="s">
        <v>53</v>
      </c>
      <c r="B11">
        <v>34.670491191147022</v>
      </c>
    </row>
    <row r="12" spans="1:2">
      <c r="A12" t="s">
        <v>54</v>
      </c>
      <c r="B12">
        <v>35.926824212271974</v>
      </c>
    </row>
    <row r="13" spans="1:2">
      <c r="A13" t="s">
        <v>55</v>
      </c>
      <c r="B13">
        <v>49.463542506855944</v>
      </c>
    </row>
    <row r="14" spans="1:2">
      <c r="A14" t="s">
        <v>56</v>
      </c>
      <c r="B14">
        <v>39.849201806271068</v>
      </c>
    </row>
    <row r="15" spans="1:2">
      <c r="A15" t="s">
        <v>57</v>
      </c>
      <c r="B15">
        <v>42.074456061034191</v>
      </c>
    </row>
    <row r="16" spans="1:2">
      <c r="A16" t="s">
        <v>58</v>
      </c>
      <c r="B16">
        <v>50.603953468031136</v>
      </c>
    </row>
    <row r="17" spans="1:2">
      <c r="A17" t="s">
        <v>59</v>
      </c>
      <c r="B17">
        <v>42.074456061034191</v>
      </c>
    </row>
    <row r="18" spans="1:2">
      <c r="A18" t="s">
        <v>60</v>
      </c>
      <c r="B18">
        <v>45.092433039895113</v>
      </c>
    </row>
    <row r="19" spans="1:2">
      <c r="A19" t="s">
        <v>61</v>
      </c>
      <c r="B19">
        <v>71.054285372276752</v>
      </c>
    </row>
    <row r="20" spans="1:2">
      <c r="A20" t="s">
        <v>62</v>
      </c>
      <c r="B20">
        <v>0</v>
      </c>
    </row>
    <row r="21" spans="1:2">
      <c r="A21" t="s">
        <v>64</v>
      </c>
      <c r="B21">
        <v>46.143169133705413</v>
      </c>
    </row>
    <row r="22" spans="1:2">
      <c r="A22" t="s">
        <v>65</v>
      </c>
      <c r="B22">
        <v>58.929033100476595</v>
      </c>
    </row>
    <row r="23" spans="1:2">
      <c r="A23" t="s">
        <v>66</v>
      </c>
      <c r="B23">
        <v>52.671633438265133</v>
      </c>
    </row>
    <row r="24" spans="1:2">
      <c r="A24" t="s">
        <v>67</v>
      </c>
      <c r="B24">
        <v>73.065895810021132</v>
      </c>
    </row>
    <row r="25" spans="1:2">
      <c r="A25" t="s">
        <v>280</v>
      </c>
      <c r="B25">
        <v>71.271864808775575</v>
      </c>
    </row>
    <row r="26" spans="1:2">
      <c r="A26" t="s">
        <v>68</v>
      </c>
      <c r="B26">
        <v>61.766183396435501</v>
      </c>
    </row>
    <row r="27" spans="1:2">
      <c r="A27" t="s">
        <v>69</v>
      </c>
      <c r="B27">
        <v>52.612781954887218</v>
      </c>
    </row>
    <row r="28" spans="1:2">
      <c r="A28" t="s">
        <v>70</v>
      </c>
      <c r="B28">
        <v>46.74619848674061</v>
      </c>
    </row>
    <row r="29" spans="1:2">
      <c r="A29" t="s">
        <v>71</v>
      </c>
      <c r="B29">
        <v>52.351845854922281</v>
      </c>
    </row>
    <row r="30" spans="1:2">
      <c r="A30" t="s">
        <v>72</v>
      </c>
      <c r="B30">
        <v>35.664656890296868</v>
      </c>
    </row>
    <row r="31" spans="1:2">
      <c r="A31" t="s">
        <v>73</v>
      </c>
      <c r="B31">
        <v>55.042945283325217</v>
      </c>
    </row>
    <row r="32" spans="1:2">
      <c r="A32" t="s">
        <v>74</v>
      </c>
      <c r="B32">
        <v>32.704175578908213</v>
      </c>
    </row>
    <row r="33" spans="1:2">
      <c r="A33" t="s">
        <v>75</v>
      </c>
      <c r="B33">
        <v>53.734553592838303</v>
      </c>
    </row>
    <row r="34" spans="1:2">
      <c r="A34" t="s">
        <v>76</v>
      </c>
      <c r="B34">
        <v>63.678999721111836</v>
      </c>
    </row>
    <row r="35" spans="1:2">
      <c r="A35" t="s">
        <v>77</v>
      </c>
      <c r="B35">
        <v>60.008860435339315</v>
      </c>
    </row>
    <row r="36" spans="1:2">
      <c r="A36" t="s">
        <v>78</v>
      </c>
      <c r="B36">
        <v>53.399756202495333</v>
      </c>
    </row>
    <row r="37" spans="1:2">
      <c r="A37" t="s">
        <v>79</v>
      </c>
      <c r="B37">
        <v>47.307374703621939</v>
      </c>
    </row>
    <row r="38" spans="1:2">
      <c r="A38" t="s">
        <v>80</v>
      </c>
      <c r="B38">
        <v>69.009811645061959</v>
      </c>
    </row>
    <row r="39" spans="1:2">
      <c r="A39" t="s">
        <v>81</v>
      </c>
      <c r="B39">
        <v>53.45083754015603</v>
      </c>
    </row>
    <row r="40" spans="1:2">
      <c r="A40" t="s">
        <v>82</v>
      </c>
      <c r="B40">
        <v>38.635642517186675</v>
      </c>
    </row>
    <row r="41" spans="1:2">
      <c r="A41" t="s">
        <v>83</v>
      </c>
      <c r="B41">
        <v>37.146665473900789</v>
      </c>
    </row>
    <row r="42" spans="1:2">
      <c r="A42" t="s">
        <v>84</v>
      </c>
      <c r="B42">
        <v>37.146665473900789</v>
      </c>
    </row>
    <row r="43" spans="1:2">
      <c r="A43" t="s">
        <v>85</v>
      </c>
      <c r="B43">
        <v>37.146665473900789</v>
      </c>
    </row>
    <row r="44" spans="1:2">
      <c r="A44" t="s">
        <v>86</v>
      </c>
      <c r="B44">
        <v>37.146665473900789</v>
      </c>
    </row>
    <row r="45" spans="1:2">
      <c r="A45" t="s">
        <v>281</v>
      </c>
      <c r="B45">
        <v>37.146665473900789</v>
      </c>
    </row>
    <row r="46" spans="1:2">
      <c r="A46" t="s">
        <v>88</v>
      </c>
      <c r="B46">
        <v>38.66003741262184</v>
      </c>
    </row>
    <row r="47" spans="1:2">
      <c r="A47" t="s">
        <v>89</v>
      </c>
      <c r="B47">
        <v>41.946101180903369</v>
      </c>
    </row>
    <row r="48" spans="1:2">
      <c r="A48" t="s">
        <v>90</v>
      </c>
      <c r="B48">
        <v>49.284279077155226</v>
      </c>
    </row>
    <row r="49" spans="1:2">
      <c r="A49" t="s">
        <v>91</v>
      </c>
      <c r="B49">
        <v>54.55650813091107</v>
      </c>
    </row>
    <row r="50" spans="1:2">
      <c r="A50" t="s">
        <v>92</v>
      </c>
      <c r="B50">
        <v>53.568590382566256</v>
      </c>
    </row>
    <row r="51" spans="1:2">
      <c r="A51" t="s">
        <v>93</v>
      </c>
      <c r="B51">
        <v>48.437622652088592</v>
      </c>
    </row>
    <row r="52" spans="1:2">
      <c r="A52" t="s">
        <v>94</v>
      </c>
      <c r="B52">
        <v>54.55650813091107</v>
      </c>
    </row>
    <row r="53" spans="1:2">
      <c r="A53" t="s">
        <v>95</v>
      </c>
      <c r="B53">
        <v>54.55650813091107</v>
      </c>
    </row>
    <row r="54" spans="1:2">
      <c r="A54" t="s">
        <v>96</v>
      </c>
      <c r="B54">
        <v>56.928471948495599</v>
      </c>
    </row>
    <row r="55" spans="1:2">
      <c r="A55" t="s">
        <v>97</v>
      </c>
      <c r="B55">
        <v>60.106497218788626</v>
      </c>
    </row>
    <row r="56" spans="1:2">
      <c r="A56" t="s">
        <v>98</v>
      </c>
      <c r="B56">
        <v>61.224272663902859</v>
      </c>
    </row>
    <row r="57" spans="1:2">
      <c r="A57" t="s">
        <v>99</v>
      </c>
      <c r="B57">
        <v>49.412072346916538</v>
      </c>
    </row>
    <row r="58" spans="1:2">
      <c r="A58" t="s">
        <v>282</v>
      </c>
      <c r="B58">
        <v>119.01598245064243</v>
      </c>
    </row>
    <row r="59" spans="1:2">
      <c r="A59" t="s">
        <v>100</v>
      </c>
      <c r="B59">
        <v>38.91984010098885</v>
      </c>
    </row>
    <row r="60" spans="1:2">
      <c r="A60" t="s">
        <v>101</v>
      </c>
      <c r="B60">
        <v>46.890722591783884</v>
      </c>
    </row>
    <row r="61" spans="1:2">
      <c r="A61" t="s">
        <v>102</v>
      </c>
      <c r="B61">
        <v>38.91984010098885</v>
      </c>
    </row>
    <row r="62" spans="1:2">
      <c r="A62" t="s">
        <v>103</v>
      </c>
      <c r="B62">
        <v>38.91984010098885</v>
      </c>
    </row>
    <row r="63" spans="1:2">
      <c r="A63" t="s">
        <v>104</v>
      </c>
      <c r="B63">
        <v>38.91984010098885</v>
      </c>
    </row>
    <row r="64" spans="1:2">
      <c r="A64" t="s">
        <v>105</v>
      </c>
      <c r="B64">
        <v>38.91984010098885</v>
      </c>
    </row>
    <row r="65" spans="1:2">
      <c r="A65" t="s">
        <v>106</v>
      </c>
      <c r="B65">
        <v>62.10655153996796</v>
      </c>
    </row>
    <row r="66" spans="1:2">
      <c r="A66" t="s">
        <v>107</v>
      </c>
      <c r="B66">
        <v>38.91984010098885</v>
      </c>
    </row>
    <row r="67" spans="1:2">
      <c r="A67" t="s">
        <v>283</v>
      </c>
      <c r="B67">
        <v>62.10655153996796</v>
      </c>
    </row>
    <row r="68" spans="1:2">
      <c r="A68" t="s">
        <v>108</v>
      </c>
      <c r="B68">
        <v>25.756625246310371</v>
      </c>
    </row>
    <row r="69" spans="1:2">
      <c r="A69" t="s">
        <v>109</v>
      </c>
      <c r="B69">
        <v>72.475013220518235</v>
      </c>
    </row>
    <row r="70" spans="1:2">
      <c r="A70" t="s">
        <v>110</v>
      </c>
      <c r="B70">
        <v>67.160731021555762</v>
      </c>
    </row>
    <row r="71" spans="1:2">
      <c r="A71" t="s">
        <v>112</v>
      </c>
      <c r="B71">
        <v>46.947245228664023</v>
      </c>
    </row>
    <row r="72" spans="1:2">
      <c r="A72" t="s">
        <v>113</v>
      </c>
      <c r="B72">
        <v>69.116073339516305</v>
      </c>
    </row>
    <row r="73" spans="1:2">
      <c r="A73" t="s">
        <v>114</v>
      </c>
      <c r="B73">
        <v>94.906112982143981</v>
      </c>
    </row>
    <row r="74" spans="1:2">
      <c r="A74" t="s">
        <v>115</v>
      </c>
      <c r="B74">
        <v>82.628761003810283</v>
      </c>
    </row>
    <row r="75" spans="1:2">
      <c r="A75" t="s">
        <v>116</v>
      </c>
      <c r="B75">
        <v>51.564436183395294</v>
      </c>
    </row>
    <row r="76" spans="1:2">
      <c r="A76" t="s">
        <v>117</v>
      </c>
      <c r="B76">
        <v>62.230321464156482</v>
      </c>
    </row>
    <row r="77" spans="1:2">
      <c r="A77" t="s">
        <v>118</v>
      </c>
      <c r="B77">
        <v>49.599237673010379</v>
      </c>
    </row>
    <row r="78" spans="1:2">
      <c r="A78" t="s">
        <v>119</v>
      </c>
      <c r="B78">
        <v>68.202964710709892</v>
      </c>
    </row>
    <row r="79" spans="1:2">
      <c r="A79" t="s">
        <v>120</v>
      </c>
      <c r="B79">
        <v>67.597048119692687</v>
      </c>
    </row>
    <row r="80" spans="1:2">
      <c r="A80" t="s">
        <v>121</v>
      </c>
      <c r="B80">
        <v>46.947245228664023</v>
      </c>
    </row>
    <row r="81" spans="1:2">
      <c r="A81" t="s">
        <v>122</v>
      </c>
      <c r="B81">
        <v>104.22491105840498</v>
      </c>
    </row>
    <row r="82" spans="1:2">
      <c r="A82" t="s">
        <v>123</v>
      </c>
      <c r="B82">
        <v>68.820683824910773</v>
      </c>
    </row>
    <row r="83" spans="1:2">
      <c r="A83" t="s">
        <v>124</v>
      </c>
      <c r="B83">
        <v>81.110286412853654</v>
      </c>
    </row>
    <row r="84" spans="1:2">
      <c r="A84" t="s">
        <v>125</v>
      </c>
      <c r="B84">
        <v>46.947245228664023</v>
      </c>
    </row>
    <row r="85" spans="1:2">
      <c r="A85" t="s">
        <v>126</v>
      </c>
      <c r="B85">
        <v>92.021258028483658</v>
      </c>
    </row>
    <row r="86" spans="1:2">
      <c r="A86" t="s">
        <v>127</v>
      </c>
      <c r="B86">
        <v>46.947245228664023</v>
      </c>
    </row>
    <row r="87" spans="1:2">
      <c r="A87" t="s">
        <v>128</v>
      </c>
      <c r="B87">
        <v>29.213066551921976</v>
      </c>
    </row>
    <row r="88" spans="1:2">
      <c r="A88" t="s">
        <v>129</v>
      </c>
      <c r="B88">
        <v>70.039845819144915</v>
      </c>
    </row>
    <row r="89" spans="1:2">
      <c r="A89" t="s">
        <v>284</v>
      </c>
      <c r="B89">
        <v>75.878974834178706</v>
      </c>
    </row>
    <row r="90" spans="1:2">
      <c r="A90" t="s">
        <v>131</v>
      </c>
      <c r="B90">
        <v>72.801278012780131</v>
      </c>
    </row>
    <row r="91" spans="1:2">
      <c r="A91" t="s">
        <v>132</v>
      </c>
      <c r="B91">
        <v>51.439664714292299</v>
      </c>
    </row>
    <row r="92" spans="1:2">
      <c r="A92" t="s">
        <v>133</v>
      </c>
      <c r="B92">
        <v>83.592336316762328</v>
      </c>
    </row>
    <row r="93" spans="1:2">
      <c r="A93" t="s">
        <v>134</v>
      </c>
      <c r="B93">
        <v>65.676715493940179</v>
      </c>
    </row>
    <row r="94" spans="1:2">
      <c r="A94" t="s">
        <v>285</v>
      </c>
      <c r="B94">
        <v>66.634141776341707</v>
      </c>
    </row>
    <row r="95" spans="1:2">
      <c r="A95" t="s">
        <v>136</v>
      </c>
      <c r="B95">
        <v>65.19260761072988</v>
      </c>
    </row>
    <row r="96" spans="1:2">
      <c r="A96" t="s">
        <v>137</v>
      </c>
      <c r="B96">
        <v>81.71811432058584</v>
      </c>
    </row>
    <row r="97" spans="1:2">
      <c r="A97" t="s">
        <v>138</v>
      </c>
      <c r="B97">
        <v>73.65379553590229</v>
      </c>
    </row>
    <row r="98" spans="1:2">
      <c r="A98" t="s">
        <v>139</v>
      </c>
      <c r="B98">
        <v>92.803533141736239</v>
      </c>
    </row>
    <row r="99" spans="1:2">
      <c r="A99" t="s">
        <v>140</v>
      </c>
      <c r="B99">
        <v>60.904965296316071</v>
      </c>
    </row>
    <row r="100" spans="1:2">
      <c r="A100" t="s">
        <v>141</v>
      </c>
      <c r="B100">
        <v>69.200501539998328</v>
      </c>
    </row>
    <row r="101" spans="1:2">
      <c r="A101" t="s">
        <v>142</v>
      </c>
      <c r="B101">
        <v>45.677541186429643</v>
      </c>
    </row>
    <row r="102" spans="1:2">
      <c r="A102" t="s">
        <v>286</v>
      </c>
      <c r="B102">
        <v>63.463013698630142</v>
      </c>
    </row>
    <row r="103" spans="1:2">
      <c r="A103" t="s">
        <v>144</v>
      </c>
      <c r="B103">
        <v>91.185267321985151</v>
      </c>
    </row>
    <row r="104" spans="1:2">
      <c r="A104" t="s">
        <v>145</v>
      </c>
      <c r="B104">
        <v>63.463013698630142</v>
      </c>
    </row>
    <row r="105" spans="1:2">
      <c r="A105" t="s">
        <v>287</v>
      </c>
      <c r="B105">
        <v>63.463013698630142</v>
      </c>
    </row>
    <row r="106" spans="1:2">
      <c r="A106" t="s">
        <v>146</v>
      </c>
      <c r="B106">
        <v>40.035332668471291</v>
      </c>
    </row>
    <row r="107" spans="1:2">
      <c r="A107" t="s">
        <v>147</v>
      </c>
      <c r="B107">
        <v>39.435405141555485</v>
      </c>
    </row>
    <row r="108" spans="1:2">
      <c r="A108" t="s">
        <v>148</v>
      </c>
      <c r="B108">
        <v>38.893576766625678</v>
      </c>
    </row>
    <row r="109" spans="1:2">
      <c r="A109" t="s">
        <v>149</v>
      </c>
      <c r="B109">
        <v>45.543016677687163</v>
      </c>
    </row>
    <row r="110" spans="1:2">
      <c r="A110" t="s">
        <v>150</v>
      </c>
      <c r="B110">
        <v>47.727690040008426</v>
      </c>
    </row>
    <row r="111" spans="1:2">
      <c r="A111" t="s">
        <v>151</v>
      </c>
      <c r="B111">
        <v>56.447132457386367</v>
      </c>
    </row>
    <row r="112" spans="1:2">
      <c r="A112" t="s">
        <v>152</v>
      </c>
      <c r="B112">
        <v>33.775569572856362</v>
      </c>
    </row>
    <row r="113" spans="1:2">
      <c r="A113" t="s">
        <v>153</v>
      </c>
      <c r="B113">
        <v>60.614248844607161</v>
      </c>
    </row>
    <row r="114" spans="1:2">
      <c r="A114" t="s">
        <v>154</v>
      </c>
      <c r="B114">
        <v>46.786173505833794</v>
      </c>
    </row>
    <row r="115" spans="1:2">
      <c r="A115" t="s">
        <v>155</v>
      </c>
      <c r="B115">
        <v>51.945465323058684</v>
      </c>
    </row>
    <row r="116" spans="1:2">
      <c r="A116" t="s">
        <v>288</v>
      </c>
      <c r="B116">
        <v>0</v>
      </c>
    </row>
    <row r="117" spans="1:2">
      <c r="A117" t="s">
        <v>156</v>
      </c>
      <c r="B117">
        <v>56.95027771843624</v>
      </c>
    </row>
    <row r="118" spans="1:2">
      <c r="A118" t="s">
        <v>157</v>
      </c>
      <c r="B118">
        <v>52.441131237183868</v>
      </c>
    </row>
    <row r="119" spans="1:2">
      <c r="A119" t="s">
        <v>158</v>
      </c>
      <c r="B119">
        <v>46.536889897843359</v>
      </c>
    </row>
    <row r="120" spans="1:2">
      <c r="A120" t="s">
        <v>159</v>
      </c>
      <c r="B120">
        <v>48.670002793036033</v>
      </c>
    </row>
    <row r="121" spans="1:2">
      <c r="A121" t="s">
        <v>160</v>
      </c>
      <c r="B121">
        <v>60.703179867342961</v>
      </c>
    </row>
    <row r="122" spans="1:2">
      <c r="A122" t="s">
        <v>161</v>
      </c>
      <c r="B122">
        <v>50.065328206045429</v>
      </c>
    </row>
    <row r="123" spans="1:2">
      <c r="A123" t="s">
        <v>162</v>
      </c>
      <c r="B123">
        <v>48.670002793036033</v>
      </c>
    </row>
    <row r="124" spans="1:2">
      <c r="A124" t="s">
        <v>163</v>
      </c>
      <c r="B124">
        <v>53.307313421073367</v>
      </c>
    </row>
    <row r="125" spans="1:2">
      <c r="A125" t="s">
        <v>164</v>
      </c>
      <c r="B125">
        <v>53.307313421073367</v>
      </c>
    </row>
    <row r="126" spans="1:2">
      <c r="A126" t="s">
        <v>165</v>
      </c>
      <c r="B126">
        <v>51.095112560269179</v>
      </c>
    </row>
    <row r="127" spans="1:2">
      <c r="A127" t="s">
        <v>166</v>
      </c>
      <c r="B127">
        <v>67.922640961054057</v>
      </c>
    </row>
    <row r="128" spans="1:2">
      <c r="A128" t="s">
        <v>167</v>
      </c>
      <c r="B128">
        <v>48.670002793036033</v>
      </c>
    </row>
    <row r="129" spans="1:2">
      <c r="A129" t="s">
        <v>168</v>
      </c>
      <c r="B129">
        <v>45.02076712733723</v>
      </c>
    </row>
    <row r="130" spans="1:2">
      <c r="A130" t="s">
        <v>169</v>
      </c>
      <c r="B130">
        <v>48.670002793036033</v>
      </c>
    </row>
    <row r="131" spans="1:2">
      <c r="A131" t="s">
        <v>170</v>
      </c>
      <c r="B131">
        <v>46.951634723788047</v>
      </c>
    </row>
    <row r="132" spans="1:2">
      <c r="A132" t="s">
        <v>171</v>
      </c>
      <c r="B132">
        <v>44.359220005280434</v>
      </c>
    </row>
    <row r="133" spans="1:2">
      <c r="A133" t="s">
        <v>43</v>
      </c>
      <c r="B133">
        <v>64.900000000000006</v>
      </c>
    </row>
    <row r="134" spans="1:2">
      <c r="A134" t="s">
        <v>111</v>
      </c>
      <c r="B134">
        <v>81.125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55ABC7C022CF4AAFB2EB58557B5742" ma:contentTypeVersion="10" ma:contentTypeDescription="Create a new document." ma:contentTypeScope="" ma:versionID="3446677d92f02d844dd138b58cfda573">
  <xsd:schema xmlns:xsd="http://www.w3.org/2001/XMLSchema" xmlns:xs="http://www.w3.org/2001/XMLSchema" xmlns:p="http://schemas.microsoft.com/office/2006/metadata/properties" xmlns:ns3="8ad3d4ac-fb82-4058-99ff-7b8519f48fa5" targetNamespace="http://schemas.microsoft.com/office/2006/metadata/properties" ma:root="true" ma:fieldsID="a44b06f0e1fa24e6fd263310a53ab031" ns3:_="">
    <xsd:import namespace="8ad3d4ac-fb82-4058-99ff-7b8519f48f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3d4ac-fb82-4058-99ff-7b8519f48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8A791E-85DE-41B1-955C-D0E4865C8F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A909BC-F900-4883-909B-086A625E9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3d4ac-fb82-4058-99ff-7b8519f48f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830BE9-93F6-43E9-A4CC-45FE674C134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ad3d4ac-fb82-4058-99ff-7b8519f48fa5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Questions</vt:lpstr>
      <vt:lpstr>Proforma</vt:lpstr>
      <vt:lpstr>FY23 Rates</vt:lpstr>
      <vt:lpstr>Lists</vt:lpstr>
      <vt:lpstr>Specialty</vt:lpstr>
      <vt:lpstr>Count of Providers as of Jan 18</vt:lpstr>
      <vt:lpstr>FY21 wRVU Changes</vt:lpstr>
      <vt:lpstr>Low N 2018</vt:lpstr>
      <vt:lpstr>Specialty Lookup</vt:lpstr>
      <vt:lpstr>FUNDTYPE</vt:lpstr>
      <vt:lpstr>Proforma!Print_Area</vt:lpstr>
      <vt:lpstr>Proforma!Print_Titles</vt:lpstr>
    </vt:vector>
  </TitlesOfParts>
  <Company>PRMO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orang001</dc:creator>
  <cp:lastModifiedBy>Brady, Spencer</cp:lastModifiedBy>
  <cp:lastPrinted>2016-06-02T19:28:47Z</cp:lastPrinted>
  <dcterms:created xsi:type="dcterms:W3CDTF">2005-01-14T13:46:04Z</dcterms:created>
  <dcterms:modified xsi:type="dcterms:W3CDTF">2021-09-20T20:48:18Z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0x0101006B55ABC7C022CF4AAFB2EB58557B5742</vt:lpwstr>
  </property>
</Properties>
</file>