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hared\COVID 19\Proforma\"/>
    </mc:Choice>
  </mc:AlternateContent>
  <bookViews>
    <workbookView xWindow="0" yWindow="0" windowWidth="28800" windowHeight="11865"/>
  </bookViews>
  <sheets>
    <sheet name="Position Questionnaire" sheetId="24" r:id="rId1"/>
    <sheet name="Proforma" sheetId="16" r:id="rId2"/>
    <sheet name="FY22 Rates" sheetId="19" state="hidden" r:id="rId3"/>
    <sheet name="Lists" sheetId="6" state="hidden" r:id="rId4"/>
    <sheet name="Specialty" sheetId="13" state="hidden" r:id="rId5"/>
    <sheet name="Count of Providers as of Jan 18" sheetId="14" state="hidden" r:id="rId6"/>
    <sheet name="FY21 wRVU Changes" sheetId="18" state="hidden" r:id="rId7"/>
    <sheet name="Low N 2018" sheetId="15" state="hidden" r:id="rId8"/>
    <sheet name="Specialty Lookup" sheetId="17" state="hidden" r:id="rId9"/>
    <sheet name="CPSC" sheetId="21" state="hidden" r:id="rId10"/>
    <sheet name="AAMC" sheetId="22" state="hidden" r:id="rId11"/>
    <sheet name="MGMA ASA" sheetId="23" state="hidden" r:id="rId12"/>
  </sheets>
  <externalReferences>
    <externalReference r:id="rId13"/>
    <externalReference r:id="rId14"/>
    <externalReference r:id="rId15"/>
  </externalReferences>
  <definedNames>
    <definedName name="_xlnm._FilterDatabase" localSheetId="10" hidden="1">AAMC!$A$1:$N$577</definedName>
    <definedName name="_xlnm._FilterDatabase" localSheetId="9" hidden="1">CPSC!$A$3:$H$3</definedName>
    <definedName name="_xlnm._FilterDatabase" localSheetId="6" hidden="1">'FY21 wRVU Changes'!$A$2:$H$29</definedName>
    <definedName name="_xlnm._FilterDatabase" localSheetId="2" hidden="1">'FY22 Rates'!$A$4:$O$151</definedName>
    <definedName name="_xlnm._FilterDatabase" localSheetId="3" hidden="1">Lists!$A$26:$A$108</definedName>
    <definedName name="_xlnm._FilterDatabase" localSheetId="4" hidden="1">Specialty!$A$1:$W$140</definedName>
    <definedName name="FUNDTYPE" localSheetId="2">[1]Lists!$A$2:$A$12</definedName>
    <definedName name="FUNDTYPE" localSheetId="0">[2]Lists!$A$2:$A$12</definedName>
    <definedName name="FUNDTYPE">Lists!$A$2:$A$12</definedName>
    <definedName name="_xlnm.Print_Area" localSheetId="0">'Position Questionnaire'!$A$1:$I$40</definedName>
    <definedName name="_xlnm.Print_Area" localSheetId="1">Proforma!$A$1:$N$65</definedName>
    <definedName name="_xlnm.Print_Titles" localSheetId="1">Proforma!$56:$56</definedName>
    <definedName name="WRVU">#REF!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6" l="1"/>
  <c r="I46" i="16" s="1"/>
  <c r="I41" i="16" s="1"/>
  <c r="I42" i="16" s="1"/>
  <c r="AW3" i="6" l="1"/>
  <c r="F46" i="16"/>
  <c r="F41" i="16" s="1"/>
  <c r="F42" i="16" s="1"/>
  <c r="B2" i="24" l="1"/>
  <c r="C53" i="16"/>
  <c r="F53" i="16" s="1"/>
  <c r="I53" i="16" s="1"/>
  <c r="C52" i="16"/>
  <c r="K52" i="16" s="1"/>
  <c r="C51" i="16"/>
  <c r="F51" i="16" s="1"/>
  <c r="I51" i="16" s="1"/>
  <c r="I35" i="16"/>
  <c r="I34" i="16"/>
  <c r="I39" i="16"/>
  <c r="I38" i="16"/>
  <c r="I37" i="16"/>
  <c r="I36" i="16"/>
  <c r="F39" i="16"/>
  <c r="F38" i="16"/>
  <c r="F37" i="16"/>
  <c r="F35" i="16"/>
  <c r="F34" i="16"/>
  <c r="C40" i="16"/>
  <c r="K40" i="16" s="1"/>
  <c r="F36" i="16"/>
  <c r="N7" i="16"/>
  <c r="K53" i="16" l="1"/>
  <c r="K37" i="16"/>
  <c r="N6" i="16" l="1"/>
  <c r="N5" i="16"/>
  <c r="I15" i="16" l="1"/>
  <c r="AC11" i="6"/>
  <c r="AC14" i="6" s="1"/>
  <c r="Y11" i="6"/>
  <c r="Y14" i="6" s="1"/>
  <c r="U11" i="6"/>
  <c r="U14" i="6" s="1"/>
  <c r="Q11" i="6"/>
  <c r="Q14" i="6" s="1"/>
  <c r="Y3" i="6"/>
  <c r="M3" i="6"/>
  <c r="M75" i="19"/>
  <c r="O75" i="19" s="1"/>
  <c r="M7" i="19"/>
  <c r="O7" i="19" s="1"/>
  <c r="M6" i="19"/>
  <c r="O6" i="19" s="1"/>
  <c r="F75" i="19"/>
  <c r="H75" i="19" s="1"/>
  <c r="F6" i="19"/>
  <c r="H6" i="19" s="1"/>
  <c r="F151" i="19"/>
  <c r="H151" i="19" s="1"/>
  <c r="F150" i="19"/>
  <c r="H150" i="19" s="1"/>
  <c r="F149" i="19"/>
  <c r="H149" i="19" s="1"/>
  <c r="F148" i="19"/>
  <c r="H148" i="19" s="1"/>
  <c r="F147" i="19"/>
  <c r="H147" i="19" s="1"/>
  <c r="C38" i="16" l="1"/>
  <c r="K38" i="16" s="1"/>
  <c r="C39" i="16"/>
  <c r="K39" i="16" s="1"/>
  <c r="C36" i="16"/>
  <c r="K36" i="16" s="1"/>
  <c r="C35" i="16"/>
  <c r="K35" i="16" s="1"/>
  <c r="F146" i="19"/>
  <c r="H146" i="19" s="1"/>
  <c r="F145" i="19"/>
  <c r="H145" i="19" s="1"/>
  <c r="F144" i="19"/>
  <c r="F143" i="19"/>
  <c r="H143" i="19" s="1"/>
  <c r="F142" i="19"/>
  <c r="F141" i="19"/>
  <c r="H141" i="19" s="1"/>
  <c r="F140" i="19"/>
  <c r="H140" i="19" s="1"/>
  <c r="F139" i="19"/>
  <c r="F138" i="19"/>
  <c r="F137" i="19"/>
  <c r="F136" i="19"/>
  <c r="F135" i="19"/>
  <c r="F134" i="19"/>
  <c r="F133" i="19"/>
  <c r="F132" i="19"/>
  <c r="F131" i="19"/>
  <c r="F130" i="19"/>
  <c r="F129" i="19"/>
  <c r="F128" i="19"/>
  <c r="F127" i="19"/>
  <c r="F126" i="19"/>
  <c r="F125" i="19"/>
  <c r="F124" i="19"/>
  <c r="F123" i="19"/>
  <c r="F122" i="19"/>
  <c r="F121" i="19"/>
  <c r="F120" i="19"/>
  <c r="F119" i="19"/>
  <c r="F118" i="19"/>
  <c r="F117" i="19"/>
  <c r="F116" i="19"/>
  <c r="F115" i="19"/>
  <c r="F114" i="19"/>
  <c r="F113" i="19"/>
  <c r="F112" i="19"/>
  <c r="F111" i="19"/>
  <c r="F110" i="19"/>
  <c r="F109" i="19"/>
  <c r="F108" i="19"/>
  <c r="F107" i="19"/>
  <c r="F106" i="19"/>
  <c r="F105" i="19"/>
  <c r="F104" i="19"/>
  <c r="F103" i="19"/>
  <c r="F102" i="19"/>
  <c r="F101" i="19"/>
  <c r="F100" i="19"/>
  <c r="F99" i="19"/>
  <c r="F98" i="19"/>
  <c r="F97" i="19"/>
  <c r="F96" i="19"/>
  <c r="F95" i="19"/>
  <c r="F94" i="19"/>
  <c r="F93" i="19"/>
  <c r="F92" i="19"/>
  <c r="F91" i="19"/>
  <c r="F90" i="19"/>
  <c r="F89" i="19"/>
  <c r="F88" i="19"/>
  <c r="F87" i="19"/>
  <c r="F86" i="19"/>
  <c r="F85" i="19"/>
  <c r="F84" i="19"/>
  <c r="F83" i="19"/>
  <c r="F82" i="19"/>
  <c r="F81" i="19"/>
  <c r="F80" i="19"/>
  <c r="F79" i="19"/>
  <c r="F78" i="19"/>
  <c r="F77" i="19"/>
  <c r="F76" i="19"/>
  <c r="F74" i="19"/>
  <c r="F73" i="19"/>
  <c r="F72" i="19"/>
  <c r="F71" i="19"/>
  <c r="F70" i="19"/>
  <c r="F69" i="19"/>
  <c r="F68" i="19"/>
  <c r="F67" i="19"/>
  <c r="F66" i="19"/>
  <c r="F65" i="19"/>
  <c r="F64" i="19"/>
  <c r="F63" i="19"/>
  <c r="F62" i="19"/>
  <c r="F61" i="19"/>
  <c r="F60" i="19"/>
  <c r="F59" i="19"/>
  <c r="F58" i="19"/>
  <c r="F57" i="19"/>
  <c r="F56" i="19"/>
  <c r="F55" i="19"/>
  <c r="F54" i="19"/>
  <c r="F53" i="19"/>
  <c r="F52" i="19"/>
  <c r="F51" i="19"/>
  <c r="F50" i="19"/>
  <c r="F49" i="19"/>
  <c r="F48" i="19"/>
  <c r="F47" i="19"/>
  <c r="F46" i="19"/>
  <c r="F45" i="19"/>
  <c r="F44" i="19"/>
  <c r="F43" i="19"/>
  <c r="F42" i="19"/>
  <c r="F41" i="19"/>
  <c r="F40" i="19"/>
  <c r="F39" i="19"/>
  <c r="F38" i="19"/>
  <c r="F37"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H144" i="19"/>
  <c r="H142" i="19"/>
  <c r="AC3" i="6" l="1"/>
  <c r="I48" i="16" l="1"/>
  <c r="F48" i="16"/>
  <c r="BA3" i="6"/>
  <c r="I50" i="16"/>
  <c r="F50" i="16"/>
  <c r="C50" i="16"/>
  <c r="C49" i="16"/>
  <c r="K49" i="16" s="1"/>
  <c r="I14" i="16"/>
  <c r="BA6" i="6" l="1"/>
  <c r="C48" i="16" s="1"/>
  <c r="K48" i="16" s="1"/>
  <c r="K50" i="16"/>
  <c r="AW6" i="6" l="1"/>
  <c r="C46" i="16" s="1"/>
  <c r="C41" i="16" s="1"/>
  <c r="AS3" i="6" l="1"/>
  <c r="AS6" i="6" s="1"/>
  <c r="C33" i="16" s="1"/>
  <c r="AO3" i="6"/>
  <c r="AO6" i="6" s="1"/>
  <c r="C32" i="16" s="1"/>
  <c r="AK3" i="6"/>
  <c r="AK6" i="6" s="1"/>
  <c r="C31" i="16" s="1"/>
  <c r="AG3" i="6" l="1"/>
  <c r="AG6" i="6" s="1"/>
  <c r="AC6" i="6"/>
  <c r="F16" i="16"/>
  <c r="I12" i="16" l="1"/>
  <c r="I45" i="16" s="1"/>
  <c r="F45" i="16"/>
  <c r="Q3" i="6"/>
  <c r="I13" i="16" l="1"/>
  <c r="AG11" i="6"/>
  <c r="AG14" i="6" s="1"/>
  <c r="I47" i="16" l="1"/>
  <c r="I33" i="16"/>
  <c r="F33" i="16"/>
  <c r="I32" i="16"/>
  <c r="F32" i="16"/>
  <c r="F31" i="16"/>
  <c r="I31" i="16"/>
  <c r="F55" i="16" l="1"/>
  <c r="I55" i="16"/>
  <c r="C55" i="16"/>
  <c r="H139" i="19"/>
  <c r="H138" i="19"/>
  <c r="H137" i="19"/>
  <c r="H136" i="19"/>
  <c r="H135" i="19"/>
  <c r="H134" i="19"/>
  <c r="H133" i="19"/>
  <c r="H132" i="19"/>
  <c r="H131" i="19"/>
  <c r="H130" i="19"/>
  <c r="H129" i="19"/>
  <c r="H128" i="19"/>
  <c r="H127" i="19"/>
  <c r="H126" i="19"/>
  <c r="H125" i="19"/>
  <c r="H124" i="19"/>
  <c r="H123" i="19"/>
  <c r="H122" i="19"/>
  <c r="H121" i="19"/>
  <c r="H120" i="19"/>
  <c r="H119" i="19"/>
  <c r="H118" i="19"/>
  <c r="H117" i="19"/>
  <c r="H116" i="19"/>
  <c r="H115" i="19"/>
  <c r="H114" i="19"/>
  <c r="H113" i="19"/>
  <c r="H112" i="19"/>
  <c r="H111" i="19"/>
  <c r="H110" i="19"/>
  <c r="H109" i="19"/>
  <c r="H108" i="19"/>
  <c r="H107" i="19"/>
  <c r="H106" i="19"/>
  <c r="H105" i="19"/>
  <c r="H104" i="19"/>
  <c r="H103" i="19"/>
  <c r="H102" i="19"/>
  <c r="H101" i="19"/>
  <c r="H100" i="19"/>
  <c r="H99" i="19"/>
  <c r="H98" i="19"/>
  <c r="H97" i="19"/>
  <c r="H96" i="19"/>
  <c r="H95" i="19"/>
  <c r="H94" i="19"/>
  <c r="H93" i="19"/>
  <c r="H92" i="19"/>
  <c r="H91" i="19"/>
  <c r="H90" i="19"/>
  <c r="H89" i="19"/>
  <c r="H88" i="19"/>
  <c r="H87" i="19"/>
  <c r="H86" i="19"/>
  <c r="H85" i="19"/>
  <c r="H84" i="19"/>
  <c r="H83" i="19"/>
  <c r="H82" i="19"/>
  <c r="H81" i="19"/>
  <c r="H80" i="19"/>
  <c r="H79" i="19"/>
  <c r="H78" i="19"/>
  <c r="H77" i="19"/>
  <c r="H76" i="19"/>
  <c r="H74" i="19"/>
  <c r="H73" i="19"/>
  <c r="H72" i="19"/>
  <c r="H71" i="19"/>
  <c r="H70" i="19"/>
  <c r="H69" i="19"/>
  <c r="H68" i="19"/>
  <c r="H67" i="19"/>
  <c r="H66" i="19"/>
  <c r="H65" i="19"/>
  <c r="H64" i="19"/>
  <c r="H63" i="19"/>
  <c r="H62" i="19"/>
  <c r="H61" i="19"/>
  <c r="H60" i="19"/>
  <c r="H59" i="19"/>
  <c r="H58" i="19"/>
  <c r="H57" i="19"/>
  <c r="H56" i="19"/>
  <c r="H55" i="19"/>
  <c r="H54" i="19"/>
  <c r="H53" i="19"/>
  <c r="H52" i="19"/>
  <c r="H51" i="19"/>
  <c r="H50" i="19"/>
  <c r="H49" i="19"/>
  <c r="H48" i="19"/>
  <c r="H47" i="19"/>
  <c r="H46" i="19"/>
  <c r="H45" i="19"/>
  <c r="H44" i="19"/>
  <c r="H43" i="19"/>
  <c r="H42" i="19"/>
  <c r="H41" i="19"/>
  <c r="H40" i="19"/>
  <c r="H39" i="19"/>
  <c r="H38" i="19"/>
  <c r="H37" i="19"/>
  <c r="H36" i="19"/>
  <c r="H35" i="19"/>
  <c r="H34" i="19"/>
  <c r="H33" i="19"/>
  <c r="H32" i="19"/>
  <c r="H31" i="19"/>
  <c r="H30" i="19"/>
  <c r="H29" i="19"/>
  <c r="H28" i="19"/>
  <c r="H27" i="19"/>
  <c r="H26" i="19"/>
  <c r="H25" i="19"/>
  <c r="H24" i="19"/>
  <c r="H23" i="19"/>
  <c r="H22" i="19"/>
  <c r="H21" i="19"/>
  <c r="H20" i="19"/>
  <c r="H19" i="19"/>
  <c r="H18" i="19"/>
  <c r="H17" i="19"/>
  <c r="H16" i="19"/>
  <c r="H15" i="19"/>
  <c r="H14" i="19"/>
  <c r="H13" i="19"/>
  <c r="H12" i="19"/>
  <c r="H11" i="19"/>
  <c r="H10" i="19"/>
  <c r="H9" i="19"/>
  <c r="H8" i="19"/>
  <c r="H7" i="19"/>
  <c r="F5" i="19"/>
  <c r="H5" i="19" s="1"/>
  <c r="K32" i="16" l="1"/>
  <c r="K46" i="16" l="1"/>
  <c r="W138" i="13" l="1"/>
  <c r="W139" i="13"/>
  <c r="W135" i="13"/>
  <c r="W136" i="13"/>
  <c r="W137" i="13"/>
  <c r="C54" i="16" l="1"/>
  <c r="F54" i="16" s="1"/>
  <c r="I54" i="16" s="1"/>
  <c r="I56" i="16" s="1"/>
  <c r="K54" i="16" l="1"/>
  <c r="M6" i="6" l="1"/>
  <c r="Y6" i="6"/>
  <c r="C34" i="16" l="1"/>
  <c r="C47" i="16"/>
  <c r="F47" i="16" s="1"/>
  <c r="F56" i="16" s="1"/>
  <c r="K34" i="16" l="1"/>
  <c r="C42" i="16"/>
  <c r="K51" i="16"/>
  <c r="K47" i="16" l="1"/>
  <c r="B3" i="16" l="1"/>
  <c r="W71" i="13" l="1"/>
  <c r="V138" i="13"/>
  <c r="H133" i="13"/>
  <c r="I133" i="13" s="1"/>
  <c r="D133" i="13"/>
  <c r="E133" i="13" s="1"/>
  <c r="V137" i="13"/>
  <c r="H132" i="13"/>
  <c r="I132" i="13" s="1"/>
  <c r="D132" i="13"/>
  <c r="E132" i="13" s="1"/>
  <c r="V136" i="13"/>
  <c r="H131" i="13"/>
  <c r="I131" i="13" s="1"/>
  <c r="D131" i="13"/>
  <c r="E131" i="13" s="1"/>
  <c r="V135" i="13"/>
  <c r="R138" i="13"/>
  <c r="N138" i="13"/>
  <c r="H130" i="13"/>
  <c r="I130" i="13" s="1"/>
  <c r="D130" i="13"/>
  <c r="E130" i="13" s="1"/>
  <c r="V134" i="13"/>
  <c r="R134" i="13"/>
  <c r="N134" i="13"/>
  <c r="H129" i="13"/>
  <c r="I129" i="13" s="1"/>
  <c r="D129" i="13"/>
  <c r="E129" i="13" s="1"/>
  <c r="R133" i="13"/>
  <c r="N133" i="13"/>
  <c r="W133" i="13" s="1"/>
  <c r="A128" i="13"/>
  <c r="V133" i="13" s="1"/>
  <c r="V132" i="13"/>
  <c r="R132" i="13"/>
  <c r="N132" i="13"/>
  <c r="H127" i="13"/>
  <c r="I127" i="13" s="1"/>
  <c r="D127" i="13"/>
  <c r="E127" i="13" s="1"/>
  <c r="W132" i="13" s="1"/>
  <c r="V131" i="13"/>
  <c r="R131" i="13"/>
  <c r="N131" i="13"/>
  <c r="H126" i="13"/>
  <c r="I126" i="13" s="1"/>
  <c r="D126" i="13"/>
  <c r="E126" i="13" s="1"/>
  <c r="V130" i="13"/>
  <c r="R130" i="13"/>
  <c r="N130" i="13"/>
  <c r="H125" i="13"/>
  <c r="I125" i="13" s="1"/>
  <c r="D125" i="13"/>
  <c r="E125" i="13" s="1"/>
  <c r="V129" i="13"/>
  <c r="R129" i="13"/>
  <c r="N129" i="13"/>
  <c r="H124" i="13"/>
  <c r="I124" i="13" s="1"/>
  <c r="D124" i="13"/>
  <c r="E124" i="13" s="1"/>
  <c r="W129" i="13" s="1"/>
  <c r="V128" i="13"/>
  <c r="R128" i="13"/>
  <c r="N128" i="13"/>
  <c r="H123" i="13"/>
  <c r="I123" i="13" s="1"/>
  <c r="D123" i="13"/>
  <c r="E123" i="13" s="1"/>
  <c r="V127" i="13"/>
  <c r="R127" i="13"/>
  <c r="N127" i="13"/>
  <c r="H122" i="13"/>
  <c r="I122" i="13" s="1"/>
  <c r="D122" i="13"/>
  <c r="E122" i="13" s="1"/>
  <c r="W127" i="13" s="1"/>
  <c r="V126" i="13"/>
  <c r="R126" i="13"/>
  <c r="N126" i="13"/>
  <c r="H121" i="13"/>
  <c r="I121" i="13" s="1"/>
  <c r="D121" i="13"/>
  <c r="E121" i="13" s="1"/>
  <c r="V125" i="13"/>
  <c r="R125" i="13"/>
  <c r="N125" i="13"/>
  <c r="H120" i="13"/>
  <c r="I120" i="13" s="1"/>
  <c r="D120" i="13"/>
  <c r="E120" i="13" s="1"/>
  <c r="W125" i="13" s="1"/>
  <c r="V124" i="13"/>
  <c r="R124" i="13"/>
  <c r="N124" i="13"/>
  <c r="H119" i="13"/>
  <c r="I119" i="13" s="1"/>
  <c r="D119" i="13"/>
  <c r="E119" i="13" s="1"/>
  <c r="V123" i="13"/>
  <c r="R123" i="13"/>
  <c r="N123" i="13"/>
  <c r="H118" i="13"/>
  <c r="I118" i="13" s="1"/>
  <c r="D118" i="13"/>
  <c r="E118" i="13" s="1"/>
  <c r="W123" i="13" s="1"/>
  <c r="V122" i="13"/>
  <c r="R122" i="13"/>
  <c r="N122" i="13"/>
  <c r="H117" i="13"/>
  <c r="I117" i="13" s="1"/>
  <c r="D117" i="13"/>
  <c r="E117" i="13" s="1"/>
  <c r="V121" i="13"/>
  <c r="R121" i="13"/>
  <c r="N121" i="13"/>
  <c r="H116" i="13"/>
  <c r="I116" i="13" s="1"/>
  <c r="D116" i="13"/>
  <c r="E116" i="13" s="1"/>
  <c r="W121" i="13" s="1"/>
  <c r="V120" i="13"/>
  <c r="R120" i="13"/>
  <c r="N120" i="13"/>
  <c r="H115" i="13"/>
  <c r="I115" i="13" s="1"/>
  <c r="D115" i="13"/>
  <c r="E115" i="13" s="1"/>
  <c r="V119" i="13"/>
  <c r="R119" i="13"/>
  <c r="N119" i="13"/>
  <c r="H114" i="13"/>
  <c r="I114" i="13" s="1"/>
  <c r="D114" i="13"/>
  <c r="E114" i="13" s="1"/>
  <c r="W119" i="13" s="1"/>
  <c r="V118" i="13"/>
  <c r="R118" i="13"/>
  <c r="N118" i="13"/>
  <c r="H113" i="13"/>
  <c r="I113" i="13" s="1"/>
  <c r="D113" i="13"/>
  <c r="E113" i="13" s="1"/>
  <c r="V117" i="13"/>
  <c r="R117" i="13"/>
  <c r="N117" i="13"/>
  <c r="H112" i="13"/>
  <c r="I112" i="13" s="1"/>
  <c r="D112" i="13"/>
  <c r="E112" i="13" s="1"/>
  <c r="W117" i="13" s="1"/>
  <c r="V116" i="13"/>
  <c r="R116" i="13"/>
  <c r="N116" i="13"/>
  <c r="H111" i="13"/>
  <c r="I111" i="13" s="1"/>
  <c r="D111" i="13"/>
  <c r="E111" i="13" s="1"/>
  <c r="V115" i="13"/>
  <c r="R115" i="13"/>
  <c r="N115" i="13"/>
  <c r="H110" i="13"/>
  <c r="I110" i="13" s="1"/>
  <c r="D110" i="13"/>
  <c r="E110" i="13" s="1"/>
  <c r="W115" i="13" s="1"/>
  <c r="V114" i="13"/>
  <c r="R114" i="13"/>
  <c r="N114" i="13"/>
  <c r="H109" i="13"/>
  <c r="I109" i="13" s="1"/>
  <c r="D109" i="13"/>
  <c r="E109" i="13" s="1"/>
  <c r="V113" i="13"/>
  <c r="R113" i="13"/>
  <c r="N113" i="13"/>
  <c r="H108" i="13"/>
  <c r="I108" i="13" s="1"/>
  <c r="D108" i="13"/>
  <c r="E108" i="13" s="1"/>
  <c r="W113" i="13" s="1"/>
  <c r="V112" i="13"/>
  <c r="R112" i="13"/>
  <c r="N112" i="13"/>
  <c r="H107" i="13"/>
  <c r="I107" i="13" s="1"/>
  <c r="D107" i="13"/>
  <c r="E107" i="13" s="1"/>
  <c r="W111" i="13"/>
  <c r="R111" i="13"/>
  <c r="N111" i="13"/>
  <c r="A106" i="13"/>
  <c r="V110" i="13"/>
  <c r="R110" i="13"/>
  <c r="N110" i="13"/>
  <c r="H105" i="13"/>
  <c r="I105" i="13" s="1"/>
  <c r="D105" i="13"/>
  <c r="E105" i="13" s="1"/>
  <c r="V109" i="13"/>
  <c r="R109" i="13"/>
  <c r="N109" i="13"/>
  <c r="H104" i="13"/>
  <c r="I104" i="13" s="1"/>
  <c r="D104" i="13"/>
  <c r="E104" i="13" s="1"/>
  <c r="W109" i="13" s="1"/>
  <c r="V108" i="13"/>
  <c r="R108" i="13"/>
  <c r="N108" i="13"/>
  <c r="H103" i="13"/>
  <c r="I103" i="13" s="1"/>
  <c r="D103" i="13"/>
  <c r="E103" i="13" s="1"/>
  <c r="V107" i="13"/>
  <c r="R107" i="13"/>
  <c r="N107" i="13"/>
  <c r="H102" i="13"/>
  <c r="I102" i="13" s="1"/>
  <c r="D102" i="13"/>
  <c r="E102" i="13" s="1"/>
  <c r="W107" i="13" s="1"/>
  <c r="V106" i="13"/>
  <c r="R106" i="13"/>
  <c r="N106" i="13"/>
  <c r="D101" i="13"/>
  <c r="E101" i="13" s="1"/>
  <c r="W106" i="13" s="1"/>
  <c r="H101" i="13"/>
  <c r="I101" i="13" s="1"/>
  <c r="V105" i="13"/>
  <c r="R105" i="13"/>
  <c r="N105" i="13"/>
  <c r="H100" i="13"/>
  <c r="I100" i="13" s="1"/>
  <c r="D100" i="13"/>
  <c r="E100" i="13" s="1"/>
  <c r="V104" i="13"/>
  <c r="R104" i="13"/>
  <c r="N104" i="13"/>
  <c r="H99" i="13"/>
  <c r="I99" i="13" s="1"/>
  <c r="D99" i="13"/>
  <c r="E99" i="13" s="1"/>
  <c r="W104" i="13" s="1"/>
  <c r="V103" i="13"/>
  <c r="R103" i="13"/>
  <c r="N103" i="13"/>
  <c r="H98" i="13"/>
  <c r="I98" i="13" s="1"/>
  <c r="D98" i="13"/>
  <c r="E98" i="13" s="1"/>
  <c r="W103" i="13" s="1"/>
  <c r="V102" i="13"/>
  <c r="R102" i="13"/>
  <c r="N102" i="13"/>
  <c r="H97" i="13"/>
  <c r="I97" i="13" s="1"/>
  <c r="D97" i="13"/>
  <c r="E97" i="13" s="1"/>
  <c r="V101" i="13"/>
  <c r="R101" i="13"/>
  <c r="N101" i="13"/>
  <c r="H96" i="13"/>
  <c r="I96" i="13" s="1"/>
  <c r="D96" i="13"/>
  <c r="E96" i="13" s="1"/>
  <c r="W101" i="13" s="1"/>
  <c r="V100" i="13"/>
  <c r="R100" i="13"/>
  <c r="N100" i="13"/>
  <c r="H95" i="13"/>
  <c r="I95" i="13" s="1"/>
  <c r="D95" i="13"/>
  <c r="E95" i="13" s="1"/>
  <c r="V99" i="13"/>
  <c r="R99" i="13"/>
  <c r="N99" i="13"/>
  <c r="H94" i="13"/>
  <c r="I94" i="13" s="1"/>
  <c r="D94" i="13"/>
  <c r="E94" i="13" s="1"/>
  <c r="W99" i="13" s="1"/>
  <c r="V98" i="13"/>
  <c r="R98" i="13"/>
  <c r="N98" i="13"/>
  <c r="H93" i="13"/>
  <c r="I93" i="13" s="1"/>
  <c r="D93" i="13"/>
  <c r="E93" i="13" s="1"/>
  <c r="V97" i="13"/>
  <c r="R97" i="13"/>
  <c r="N97" i="13"/>
  <c r="H92" i="13"/>
  <c r="I92" i="13" s="1"/>
  <c r="D92" i="13"/>
  <c r="E92" i="13" s="1"/>
  <c r="V96" i="13"/>
  <c r="R96" i="13"/>
  <c r="N96" i="13"/>
  <c r="D91" i="13"/>
  <c r="E91" i="13" s="1"/>
  <c r="W96" i="13" s="1"/>
  <c r="H91" i="13"/>
  <c r="I91" i="13" s="1"/>
  <c r="V95" i="13"/>
  <c r="R95" i="13"/>
  <c r="N95" i="13"/>
  <c r="H90" i="13"/>
  <c r="I90" i="13" s="1"/>
  <c r="D90" i="13"/>
  <c r="E90" i="13" s="1"/>
  <c r="V94" i="13"/>
  <c r="R94" i="13"/>
  <c r="N94" i="13"/>
  <c r="H89" i="13"/>
  <c r="I89" i="13" s="1"/>
  <c r="D89" i="13"/>
  <c r="E89" i="13" s="1"/>
  <c r="W94" i="13" s="1"/>
  <c r="V93" i="13"/>
  <c r="R93" i="13"/>
  <c r="N93" i="13"/>
  <c r="H88" i="13"/>
  <c r="I88" i="13" s="1"/>
  <c r="D88" i="13"/>
  <c r="E88" i="13" s="1"/>
  <c r="V92" i="13"/>
  <c r="R92" i="13"/>
  <c r="N92" i="13"/>
  <c r="H87" i="13"/>
  <c r="I87" i="13" s="1"/>
  <c r="D87" i="13"/>
  <c r="E87" i="13" s="1"/>
  <c r="W92" i="13" s="1"/>
  <c r="V91" i="13"/>
  <c r="R91" i="13"/>
  <c r="N91" i="13"/>
  <c r="H86" i="13"/>
  <c r="I86" i="13" s="1"/>
  <c r="D86" i="13"/>
  <c r="E86" i="13" s="1"/>
  <c r="V90" i="13"/>
  <c r="R90" i="13"/>
  <c r="N90" i="13"/>
  <c r="D85" i="13"/>
  <c r="E85" i="13" s="1"/>
  <c r="W90" i="13" s="1"/>
  <c r="H85" i="13"/>
  <c r="I85" i="13" s="1"/>
  <c r="V89" i="13"/>
  <c r="R89" i="13"/>
  <c r="N89" i="13"/>
  <c r="H84" i="13"/>
  <c r="I84" i="13" s="1"/>
  <c r="D84" i="13"/>
  <c r="E84" i="13" s="1"/>
  <c r="V88" i="13"/>
  <c r="R88" i="13"/>
  <c r="N88" i="13"/>
  <c r="H83" i="13"/>
  <c r="I83" i="13" s="1"/>
  <c r="D83" i="13"/>
  <c r="E83" i="13" s="1"/>
  <c r="W88" i="13" s="1"/>
  <c r="V87" i="13"/>
  <c r="R87" i="13"/>
  <c r="N87" i="13"/>
  <c r="H82" i="13"/>
  <c r="I82" i="13" s="1"/>
  <c r="D82" i="13"/>
  <c r="E82" i="13" s="1"/>
  <c r="W87" i="13" s="1"/>
  <c r="V86" i="13"/>
  <c r="R86" i="13"/>
  <c r="N86" i="13"/>
  <c r="H81" i="13"/>
  <c r="I81" i="13" s="1"/>
  <c r="D81" i="13"/>
  <c r="E81" i="13" s="1"/>
  <c r="V85" i="13"/>
  <c r="R85" i="13"/>
  <c r="N85" i="13"/>
  <c r="H80" i="13"/>
  <c r="I80" i="13" s="1"/>
  <c r="D80" i="13"/>
  <c r="E80" i="13" s="1"/>
  <c r="W85" i="13" s="1"/>
  <c r="V84" i="13"/>
  <c r="R84" i="13"/>
  <c r="N84" i="13"/>
  <c r="H79" i="13"/>
  <c r="I79" i="13" s="1"/>
  <c r="D79" i="13"/>
  <c r="E79" i="13" s="1"/>
  <c r="V83" i="13"/>
  <c r="R83" i="13"/>
  <c r="N83" i="13"/>
  <c r="H78" i="13"/>
  <c r="I78" i="13" s="1"/>
  <c r="D78" i="13"/>
  <c r="E78" i="13" s="1"/>
  <c r="W83" i="13" s="1"/>
  <c r="V82" i="13"/>
  <c r="R82" i="13"/>
  <c r="N82" i="13"/>
  <c r="H77" i="13"/>
  <c r="I77" i="13" s="1"/>
  <c r="D77" i="13"/>
  <c r="E77" i="13" s="1"/>
  <c r="W82" i="13" s="1"/>
  <c r="V81" i="13"/>
  <c r="R81" i="13"/>
  <c r="N81" i="13"/>
  <c r="H76" i="13"/>
  <c r="I76" i="13" s="1"/>
  <c r="D76" i="13"/>
  <c r="E76" i="13" s="1"/>
  <c r="W81" i="13" s="1"/>
  <c r="R80" i="13"/>
  <c r="N80" i="13"/>
  <c r="W80" i="13"/>
  <c r="A75" i="13"/>
  <c r="V80" i="13" s="1"/>
  <c r="V79" i="13"/>
  <c r="R79" i="13"/>
  <c r="N79" i="13"/>
  <c r="H74" i="13"/>
  <c r="I74" i="13" s="1"/>
  <c r="D74" i="13"/>
  <c r="E74" i="13" s="1"/>
  <c r="W79" i="13" s="1"/>
  <c r="V78" i="13"/>
  <c r="R78" i="13"/>
  <c r="N78" i="13"/>
  <c r="H73" i="13"/>
  <c r="I73" i="13" s="1"/>
  <c r="D73" i="13"/>
  <c r="E73" i="13" s="1"/>
  <c r="W78" i="13" s="1"/>
  <c r="V77" i="13"/>
  <c r="R77" i="13"/>
  <c r="N77" i="13"/>
  <c r="H72" i="13"/>
  <c r="I72" i="13" s="1"/>
  <c r="D72" i="13"/>
  <c r="E72" i="13" s="1"/>
  <c r="V76" i="13"/>
  <c r="R76" i="13"/>
  <c r="N76" i="13"/>
  <c r="H71" i="13"/>
  <c r="I71" i="13" s="1"/>
  <c r="D71" i="13"/>
  <c r="E71" i="13" s="1"/>
  <c r="W76" i="13" s="1"/>
  <c r="R75" i="13"/>
  <c r="N75" i="13"/>
  <c r="A70" i="13"/>
  <c r="V75" i="13" s="1"/>
  <c r="V74" i="13"/>
  <c r="R74" i="13"/>
  <c r="N74" i="13"/>
  <c r="H69" i="13"/>
  <c r="I69" i="13" s="1"/>
  <c r="D69" i="13"/>
  <c r="E69" i="13" s="1"/>
  <c r="V73" i="13"/>
  <c r="R73" i="13"/>
  <c r="N73" i="13"/>
  <c r="H68" i="13"/>
  <c r="I68" i="13" s="1"/>
  <c r="D68" i="13"/>
  <c r="E68" i="13" s="1"/>
  <c r="W73" i="13" s="1"/>
  <c r="V72" i="13"/>
  <c r="R72" i="13"/>
  <c r="N72" i="13"/>
  <c r="H67" i="13"/>
  <c r="I67" i="13" s="1"/>
  <c r="D67" i="13"/>
  <c r="E67" i="13" s="1"/>
  <c r="R71" i="13"/>
  <c r="N71" i="13"/>
  <c r="A66" i="13"/>
  <c r="V70" i="13"/>
  <c r="R70" i="13"/>
  <c r="N70" i="13"/>
  <c r="H65" i="13"/>
  <c r="I65" i="13" s="1"/>
  <c r="D65" i="13"/>
  <c r="E65" i="13" s="1"/>
  <c r="V69" i="13"/>
  <c r="R69" i="13"/>
  <c r="N69" i="13"/>
  <c r="H64" i="13"/>
  <c r="I64" i="13" s="1"/>
  <c r="D64" i="13"/>
  <c r="E64" i="13" s="1"/>
  <c r="W69" i="13" s="1"/>
  <c r="V68" i="13"/>
  <c r="R68" i="13"/>
  <c r="N68" i="13"/>
  <c r="H63" i="13"/>
  <c r="I63" i="13" s="1"/>
  <c r="D63" i="13"/>
  <c r="E63" i="13" s="1"/>
  <c r="V67" i="13"/>
  <c r="R67" i="13"/>
  <c r="N67" i="13"/>
  <c r="D62" i="13"/>
  <c r="E62" i="13" s="1"/>
  <c r="H62" i="13"/>
  <c r="I62" i="13" s="1"/>
  <c r="V66" i="13"/>
  <c r="R66" i="13"/>
  <c r="N66" i="13"/>
  <c r="H61" i="13"/>
  <c r="I61" i="13" s="1"/>
  <c r="D61" i="13"/>
  <c r="E61" i="13" s="1"/>
  <c r="V65" i="13"/>
  <c r="R65" i="13"/>
  <c r="N65" i="13"/>
  <c r="I60" i="13"/>
  <c r="E60" i="13"/>
  <c r="V64" i="13"/>
  <c r="R64" i="13"/>
  <c r="N64" i="13"/>
  <c r="H59" i="13"/>
  <c r="I59" i="13" s="1"/>
  <c r="D59" i="13"/>
  <c r="E59" i="13" s="1"/>
  <c r="W64" i="13" s="1"/>
  <c r="V63" i="13"/>
  <c r="R63" i="13"/>
  <c r="N63" i="13"/>
  <c r="D58" i="13"/>
  <c r="E58" i="13" s="1"/>
  <c r="H58" i="13"/>
  <c r="I58" i="13" s="1"/>
  <c r="V62" i="13"/>
  <c r="R62" i="13"/>
  <c r="N62" i="13"/>
  <c r="H57" i="13"/>
  <c r="I57" i="13" s="1"/>
  <c r="D57" i="13"/>
  <c r="E57" i="13" s="1"/>
  <c r="W62" i="13" s="1"/>
  <c r="V61" i="13"/>
  <c r="R61" i="13"/>
  <c r="N61" i="13"/>
  <c r="H56" i="13"/>
  <c r="I56" i="13" s="1"/>
  <c r="D56" i="13"/>
  <c r="E56" i="13" s="1"/>
  <c r="V60" i="13"/>
  <c r="R60" i="13"/>
  <c r="N60" i="13"/>
  <c r="H55" i="13"/>
  <c r="I55" i="13" s="1"/>
  <c r="D55" i="13"/>
  <c r="E55" i="13" s="1"/>
  <c r="W60" i="13" s="1"/>
  <c r="V59" i="13"/>
  <c r="R59" i="13"/>
  <c r="N59" i="13"/>
  <c r="D54" i="13"/>
  <c r="E54" i="13" s="1"/>
  <c r="H54" i="13"/>
  <c r="I54" i="13" s="1"/>
  <c r="V58" i="13"/>
  <c r="R58" i="13"/>
  <c r="N58" i="13"/>
  <c r="D53" i="13"/>
  <c r="E53" i="13" s="1"/>
  <c r="W58" i="13" s="1"/>
  <c r="H53" i="13"/>
  <c r="I53" i="13" s="1"/>
  <c r="V57" i="13"/>
  <c r="R57" i="13"/>
  <c r="N57" i="13"/>
  <c r="H52" i="13"/>
  <c r="I52" i="13" s="1"/>
  <c r="D52" i="13"/>
  <c r="E52" i="13" s="1"/>
  <c r="V56" i="13"/>
  <c r="R56" i="13"/>
  <c r="N56" i="13"/>
  <c r="H51" i="13"/>
  <c r="I51" i="13" s="1"/>
  <c r="D51" i="13"/>
  <c r="E51" i="13" s="1"/>
  <c r="W56" i="13" s="1"/>
  <c r="V55" i="13"/>
  <c r="D50" i="13"/>
  <c r="E50" i="13" s="1"/>
  <c r="R55" i="13"/>
  <c r="N55" i="13"/>
  <c r="H50" i="13"/>
  <c r="I50" i="13" s="1"/>
  <c r="V54" i="13"/>
  <c r="R54" i="13"/>
  <c r="N54" i="13"/>
  <c r="H49" i="13"/>
  <c r="I49" i="13" s="1"/>
  <c r="D49" i="13"/>
  <c r="E49" i="13" s="1"/>
  <c r="W54" i="13" s="1"/>
  <c r="V53" i="13"/>
  <c r="R53" i="13"/>
  <c r="N53" i="13"/>
  <c r="H48" i="13"/>
  <c r="I48" i="13" s="1"/>
  <c r="D48" i="13"/>
  <c r="E48" i="13" s="1"/>
  <c r="V52" i="13"/>
  <c r="R52" i="13"/>
  <c r="N52" i="13"/>
  <c r="H47" i="13"/>
  <c r="I47" i="13" s="1"/>
  <c r="D47" i="13"/>
  <c r="E47" i="13" s="1"/>
  <c r="W52" i="13" s="1"/>
  <c r="V51" i="13"/>
  <c r="R51" i="13"/>
  <c r="N51" i="13"/>
  <c r="H46" i="13"/>
  <c r="I46" i="13" s="1"/>
  <c r="D46" i="13"/>
  <c r="E46" i="13" s="1"/>
  <c r="V49" i="13"/>
  <c r="R49" i="13"/>
  <c r="N49" i="13"/>
  <c r="H45" i="13"/>
  <c r="I45" i="13" s="1"/>
  <c r="D45" i="13"/>
  <c r="E45" i="13" s="1"/>
  <c r="V48" i="13"/>
  <c r="R48" i="13"/>
  <c r="N48" i="13"/>
  <c r="H44" i="13"/>
  <c r="I44" i="13" s="1"/>
  <c r="D44" i="13"/>
  <c r="E44" i="13" s="1"/>
  <c r="W48" i="13" s="1"/>
  <c r="V47" i="13"/>
  <c r="R47" i="13"/>
  <c r="N47" i="13"/>
  <c r="H43" i="13"/>
  <c r="I43" i="13" s="1"/>
  <c r="D43" i="13"/>
  <c r="E43" i="13" s="1"/>
  <c r="W47" i="13" s="1"/>
  <c r="V46" i="13"/>
  <c r="D42" i="13"/>
  <c r="E42" i="13" s="1"/>
  <c r="W46" i="13" s="1"/>
  <c r="R46" i="13"/>
  <c r="N46" i="13"/>
  <c r="H42" i="13"/>
  <c r="I42" i="13" s="1"/>
  <c r="V45" i="13"/>
  <c r="R45" i="13"/>
  <c r="N45" i="13"/>
  <c r="H41" i="13"/>
  <c r="I41" i="13" s="1"/>
  <c r="D41" i="13"/>
  <c r="E41" i="13" s="1"/>
  <c r="W45" i="13" s="1"/>
  <c r="V44" i="13"/>
  <c r="R44" i="13"/>
  <c r="N44" i="13"/>
  <c r="D40" i="13"/>
  <c r="E40" i="13" s="1"/>
  <c r="H40" i="13"/>
  <c r="I40" i="13" s="1"/>
  <c r="V43" i="13"/>
  <c r="R43" i="13"/>
  <c r="N43" i="13"/>
  <c r="H39" i="13"/>
  <c r="I39" i="13" s="1"/>
  <c r="D39" i="13"/>
  <c r="E39" i="13" s="1"/>
  <c r="V42" i="13"/>
  <c r="R42" i="13"/>
  <c r="N42" i="13"/>
  <c r="H38" i="13"/>
  <c r="I38" i="13" s="1"/>
  <c r="D38" i="13"/>
  <c r="E38" i="13" s="1"/>
  <c r="W42" i="13" s="1"/>
  <c r="V41" i="13"/>
  <c r="R41" i="13"/>
  <c r="N41" i="13"/>
  <c r="D37" i="13"/>
  <c r="E37" i="13" s="1"/>
  <c r="H37" i="13"/>
  <c r="I37" i="13" s="1"/>
  <c r="V40" i="13"/>
  <c r="R40" i="13"/>
  <c r="N40" i="13"/>
  <c r="H36" i="13"/>
  <c r="I36" i="13" s="1"/>
  <c r="D36" i="13"/>
  <c r="E36" i="13" s="1"/>
  <c r="W40" i="13" s="1"/>
  <c r="V39" i="13"/>
  <c r="R39" i="13"/>
  <c r="N39" i="13"/>
  <c r="H35" i="13"/>
  <c r="I35" i="13" s="1"/>
  <c r="D35" i="13"/>
  <c r="E35" i="13" s="1"/>
  <c r="V38" i="13"/>
  <c r="R38" i="13"/>
  <c r="N38" i="13"/>
  <c r="H34" i="13"/>
  <c r="I34" i="13" s="1"/>
  <c r="D34" i="13"/>
  <c r="E34" i="13" s="1"/>
  <c r="V37" i="13"/>
  <c r="R37" i="13"/>
  <c r="N37" i="13"/>
  <c r="H33" i="13"/>
  <c r="I33" i="13" s="1"/>
  <c r="D33" i="13"/>
  <c r="E33" i="13" s="1"/>
  <c r="V36" i="13"/>
  <c r="R36" i="13"/>
  <c r="N36" i="13"/>
  <c r="H32" i="13"/>
  <c r="I32" i="13" s="1"/>
  <c r="D32" i="13"/>
  <c r="E32" i="13" s="1"/>
  <c r="W36" i="13" s="1"/>
  <c r="V35" i="13"/>
  <c r="R35" i="13"/>
  <c r="N35" i="13"/>
  <c r="H31" i="13"/>
  <c r="I31" i="13" s="1"/>
  <c r="D31" i="13"/>
  <c r="E31" i="13" s="1"/>
  <c r="V33" i="13"/>
  <c r="D30" i="13"/>
  <c r="E30" i="13" s="1"/>
  <c r="R33" i="13"/>
  <c r="N33" i="13"/>
  <c r="H30" i="13"/>
  <c r="I30" i="13" s="1"/>
  <c r="V31" i="13"/>
  <c r="R31" i="13"/>
  <c r="N31" i="13"/>
  <c r="H29" i="13"/>
  <c r="I29" i="13" s="1"/>
  <c r="D29" i="13"/>
  <c r="E29" i="13" s="1"/>
  <c r="V30" i="13"/>
  <c r="R30" i="13"/>
  <c r="N30" i="13"/>
  <c r="H28" i="13"/>
  <c r="I28" i="13" s="1"/>
  <c r="D28" i="13"/>
  <c r="E28" i="13" s="1"/>
  <c r="W30" i="13" s="1"/>
  <c r="V29" i="13"/>
  <c r="R29" i="13"/>
  <c r="N29" i="13"/>
  <c r="H27" i="13"/>
  <c r="I27" i="13" s="1"/>
  <c r="D27" i="13"/>
  <c r="E27" i="13" s="1"/>
  <c r="V26" i="13"/>
  <c r="R26" i="13"/>
  <c r="N26" i="13"/>
  <c r="H26" i="13"/>
  <c r="I26" i="13" s="1"/>
  <c r="D26" i="13"/>
  <c r="E26" i="13" s="1"/>
  <c r="W26" i="13" s="1"/>
  <c r="V25" i="13"/>
  <c r="R25" i="13"/>
  <c r="N25" i="13"/>
  <c r="H25" i="13"/>
  <c r="I25" i="13" s="1"/>
  <c r="D25" i="13"/>
  <c r="E25" i="13" s="1"/>
  <c r="V24" i="13"/>
  <c r="R24" i="13"/>
  <c r="N24" i="13"/>
  <c r="D24" i="13"/>
  <c r="E24" i="13" s="1"/>
  <c r="W24" i="13" s="1"/>
  <c r="H24" i="13"/>
  <c r="I24" i="13" s="1"/>
  <c r="V23" i="13"/>
  <c r="R23" i="13"/>
  <c r="N23" i="13"/>
  <c r="H23" i="13"/>
  <c r="I23" i="13" s="1"/>
  <c r="D23" i="13"/>
  <c r="E23" i="13" s="1"/>
  <c r="V22" i="13"/>
  <c r="R22" i="13"/>
  <c r="N22" i="13"/>
  <c r="D22" i="13"/>
  <c r="E22" i="13" s="1"/>
  <c r="W22" i="13" s="1"/>
  <c r="H22" i="13"/>
  <c r="I22" i="13" s="1"/>
  <c r="V21" i="13"/>
  <c r="R21" i="13"/>
  <c r="N21" i="13"/>
  <c r="H21" i="13"/>
  <c r="I21" i="13" s="1"/>
  <c r="D21" i="13"/>
  <c r="E21" i="13" s="1"/>
  <c r="V20" i="13"/>
  <c r="R20" i="13"/>
  <c r="N20" i="13"/>
  <c r="H20" i="13"/>
  <c r="I20" i="13" s="1"/>
  <c r="D20" i="13"/>
  <c r="E20" i="13" s="1"/>
  <c r="W20" i="13" s="1"/>
  <c r="V19" i="13"/>
  <c r="R19" i="13"/>
  <c r="N19" i="13"/>
  <c r="H19" i="13"/>
  <c r="I19" i="13" s="1"/>
  <c r="D19" i="13"/>
  <c r="E19" i="13" s="1"/>
  <c r="V18" i="13"/>
  <c r="R18" i="13"/>
  <c r="N18" i="13"/>
  <c r="H18" i="13"/>
  <c r="I18" i="13" s="1"/>
  <c r="D18" i="13"/>
  <c r="E18" i="13" s="1"/>
  <c r="V17" i="13"/>
  <c r="R17" i="13"/>
  <c r="N17" i="13"/>
  <c r="H17" i="13"/>
  <c r="I17" i="13" s="1"/>
  <c r="D17" i="13"/>
  <c r="E17" i="13" s="1"/>
  <c r="W17" i="13" s="1"/>
  <c r="V16" i="13"/>
  <c r="R16" i="13"/>
  <c r="N16" i="13"/>
  <c r="D16" i="13"/>
  <c r="E16" i="13" s="1"/>
  <c r="H16" i="13"/>
  <c r="I16" i="13" s="1"/>
  <c r="V15" i="13"/>
  <c r="R15" i="13"/>
  <c r="N15" i="13"/>
  <c r="H15" i="13"/>
  <c r="I15" i="13" s="1"/>
  <c r="D15" i="13"/>
  <c r="E15" i="13" s="1"/>
  <c r="W15" i="13" s="1"/>
  <c r="V14" i="13"/>
  <c r="R14" i="13"/>
  <c r="N14" i="13"/>
  <c r="H14" i="13"/>
  <c r="I14" i="13" s="1"/>
  <c r="D14" i="13"/>
  <c r="E14" i="13" s="1"/>
  <c r="V13" i="13"/>
  <c r="R13" i="13"/>
  <c r="N13" i="13"/>
  <c r="H13" i="13"/>
  <c r="I13" i="13" s="1"/>
  <c r="D13" i="13"/>
  <c r="E13" i="13" s="1"/>
  <c r="W13" i="13" s="1"/>
  <c r="V12" i="13"/>
  <c r="R12" i="13"/>
  <c r="N12" i="13"/>
  <c r="H12" i="13"/>
  <c r="I12" i="13" s="1"/>
  <c r="D12" i="13"/>
  <c r="E12" i="13" s="1"/>
  <c r="V11" i="13"/>
  <c r="R11" i="13"/>
  <c r="N11" i="13"/>
  <c r="H11" i="13"/>
  <c r="I11" i="13" s="1"/>
  <c r="D11" i="13"/>
  <c r="E11" i="13" s="1"/>
  <c r="W11" i="13" s="1"/>
  <c r="V10" i="13"/>
  <c r="R10" i="13"/>
  <c r="N10" i="13"/>
  <c r="H10" i="13"/>
  <c r="I10" i="13" s="1"/>
  <c r="D10" i="13"/>
  <c r="E10" i="13" s="1"/>
  <c r="V9" i="13"/>
  <c r="R9" i="13"/>
  <c r="N9" i="13"/>
  <c r="H9" i="13"/>
  <c r="I9" i="13" s="1"/>
  <c r="D9" i="13"/>
  <c r="E9" i="13" s="1"/>
  <c r="W9" i="13" s="1"/>
  <c r="V8" i="13"/>
  <c r="R8" i="13"/>
  <c r="N8" i="13"/>
  <c r="H8" i="13"/>
  <c r="I8" i="13" s="1"/>
  <c r="D8" i="13"/>
  <c r="E8" i="13" s="1"/>
  <c r="V7" i="13"/>
  <c r="R7" i="13"/>
  <c r="N7" i="13"/>
  <c r="H7" i="13"/>
  <c r="I7" i="13" s="1"/>
  <c r="D7" i="13"/>
  <c r="E7" i="13" s="1"/>
  <c r="W7" i="13" s="1"/>
  <c r="V6" i="13"/>
  <c r="R6" i="13"/>
  <c r="N6" i="13"/>
  <c r="D6" i="13"/>
  <c r="E6" i="13" s="1"/>
  <c r="H6" i="13"/>
  <c r="I6" i="13" s="1"/>
  <c r="V5" i="13"/>
  <c r="R5" i="13"/>
  <c r="N5" i="13"/>
  <c r="H5" i="13"/>
  <c r="I5" i="13" s="1"/>
  <c r="D5" i="13"/>
  <c r="E5" i="13" s="1"/>
  <c r="W5" i="13" s="1"/>
  <c r="V4" i="13"/>
  <c r="R4" i="13"/>
  <c r="N4" i="13"/>
  <c r="H4" i="13"/>
  <c r="I4" i="13" s="1"/>
  <c r="D4" i="13"/>
  <c r="E4" i="13" s="1"/>
  <c r="R3" i="13"/>
  <c r="N3" i="13"/>
  <c r="A3" i="13"/>
  <c r="V2" i="13"/>
  <c r="R2" i="13"/>
  <c r="N2" i="13"/>
  <c r="D2" i="13"/>
  <c r="E2" i="13" s="1"/>
  <c r="W2" i="13" s="1"/>
  <c r="H2" i="13"/>
  <c r="I2" i="13" s="1"/>
  <c r="W84" i="13"/>
  <c r="W97" i="13" l="1"/>
  <c r="W102" i="13"/>
  <c r="V3" i="13"/>
  <c r="W4" i="13"/>
  <c r="W8" i="13"/>
  <c r="W10" i="13"/>
  <c r="W12" i="13"/>
  <c r="W19" i="13"/>
  <c r="W21" i="13"/>
  <c r="W23" i="13"/>
  <c r="W25" i="13"/>
  <c r="W29" i="13"/>
  <c r="W44" i="13"/>
  <c r="W49" i="13"/>
  <c r="W57" i="13"/>
  <c r="W59" i="13"/>
  <c r="W63" i="13"/>
  <c r="W68" i="13"/>
  <c r="V71" i="13"/>
  <c r="W33" i="13"/>
  <c r="W39" i="13"/>
  <c r="W43" i="13"/>
  <c r="W65" i="13"/>
  <c r="W70" i="13"/>
  <c r="W75" i="13"/>
  <c r="W77" i="13"/>
  <c r="V111" i="13"/>
  <c r="W3" i="13"/>
  <c r="W16" i="13"/>
  <c r="W38" i="13"/>
  <c r="W41" i="13"/>
  <c r="W89" i="13"/>
  <c r="W91" i="13"/>
  <c r="W98" i="13"/>
  <c r="W108" i="13"/>
  <c r="W110" i="13"/>
  <c r="W112" i="13"/>
  <c r="W114" i="13"/>
  <c r="W116" i="13"/>
  <c r="W118" i="13"/>
  <c r="W120" i="13"/>
  <c r="W122" i="13"/>
  <c r="W124" i="13"/>
  <c r="W126" i="13"/>
  <c r="W128" i="13"/>
  <c r="W130" i="13"/>
  <c r="W131" i="13"/>
  <c r="W6" i="13"/>
  <c r="W14" i="13"/>
  <c r="W18" i="13"/>
  <c r="W31" i="13"/>
  <c r="W35" i="13"/>
  <c r="W37" i="13"/>
  <c r="W51" i="13"/>
  <c r="W53" i="13"/>
  <c r="W55" i="13"/>
  <c r="W61" i="13"/>
  <c r="W66" i="13"/>
  <c r="W67" i="13"/>
  <c r="W72" i="13"/>
  <c r="W74" i="13"/>
  <c r="W86" i="13"/>
  <c r="W93" i="13"/>
  <c r="W95" i="13"/>
  <c r="W100" i="13"/>
  <c r="W105" i="13"/>
  <c r="W134" i="13"/>
  <c r="K31" i="16" l="1"/>
  <c r="K33" i="16"/>
  <c r="K55" i="16" l="1"/>
  <c r="K42" i="16"/>
  <c r="U3" i="6" l="1"/>
  <c r="U6" i="6" s="1"/>
  <c r="I59" i="16" l="1"/>
  <c r="Q6" i="6"/>
  <c r="C45" i="16" l="1"/>
  <c r="C56" i="16" s="1"/>
  <c r="F59" i="16"/>
  <c r="K45" i="16" l="1"/>
  <c r="K56" i="16" l="1"/>
  <c r="C59" i="16"/>
  <c r="K59" i="16" l="1"/>
</calcChain>
</file>

<file path=xl/comments1.xml><?xml version="1.0" encoding="utf-8"?>
<comments xmlns="http://schemas.openxmlformats.org/spreadsheetml/2006/main">
  <authors>
    <author>Oliver, Patricia G</author>
  </authors>
  <commentList>
    <comment ref="A2" authorId="0" shapeId="0">
      <text>
        <r>
          <rPr>
            <b/>
            <sz val="9"/>
            <color indexed="81"/>
            <rFont val="Tahoma"/>
            <family val="2"/>
          </rPr>
          <t>Oliver, Patricia G:</t>
        </r>
        <r>
          <rPr>
            <sz val="9"/>
            <color indexed="81"/>
            <rFont val="Tahoma"/>
            <family val="2"/>
          </rPr>
          <t xml:space="preserve">
Select Dept ID</t>
        </r>
      </text>
    </comment>
  </commentList>
</comments>
</file>

<file path=xl/comments2.xml><?xml version="1.0" encoding="utf-8"?>
<comments xmlns="http://schemas.openxmlformats.org/spreadsheetml/2006/main">
  <authors>
    <author>Oliver, Patricia G</author>
  </authors>
  <commentList>
    <comment ref="N1" authorId="0" shapeId="0">
      <text>
        <r>
          <rPr>
            <b/>
            <sz val="9"/>
            <color indexed="81"/>
            <rFont val="Tahoma"/>
            <family val="2"/>
          </rPr>
          <t>Oliver, Patricia G:</t>
        </r>
        <r>
          <rPr>
            <sz val="9"/>
            <color indexed="81"/>
            <rFont val="Tahoma"/>
            <family val="2"/>
          </rPr>
          <t xml:space="preserve">
Enter Appointment FTE</t>
        </r>
      </text>
    </comment>
    <comment ref="N2" authorId="0" shapeId="0">
      <text>
        <r>
          <rPr>
            <b/>
            <sz val="9"/>
            <color indexed="81"/>
            <rFont val="Tahoma"/>
            <family val="2"/>
          </rPr>
          <t>Oliver, Patricia G:</t>
        </r>
        <r>
          <rPr>
            <sz val="9"/>
            <color indexed="81"/>
            <rFont val="Tahoma"/>
            <family val="2"/>
          </rPr>
          <t xml:space="preserve">
Enter cFTE</t>
        </r>
      </text>
    </comment>
    <comment ref="A3" authorId="0" shapeId="0">
      <text>
        <r>
          <rPr>
            <b/>
            <sz val="9"/>
            <color indexed="81"/>
            <rFont val="Tahoma"/>
            <family val="2"/>
          </rPr>
          <t>Oliver, Patricia G:</t>
        </r>
        <r>
          <rPr>
            <sz val="9"/>
            <color indexed="81"/>
            <rFont val="Tahoma"/>
            <family val="2"/>
          </rPr>
          <t xml:space="preserve">
Select Dept ID</t>
        </r>
      </text>
    </comment>
    <comment ref="N3" authorId="0" shapeId="0">
      <text>
        <r>
          <rPr>
            <b/>
            <sz val="9"/>
            <color indexed="81"/>
            <rFont val="Tahoma"/>
            <family val="2"/>
          </rPr>
          <t>Oliver, Patricia G:</t>
        </r>
        <r>
          <rPr>
            <sz val="9"/>
            <color indexed="81"/>
            <rFont val="Tahoma"/>
            <family val="2"/>
          </rPr>
          <t xml:space="preserve">
Research effort (actual total effort = Research FTE)</t>
        </r>
      </text>
    </comment>
    <comment ref="N5" authorId="0" shapeId="0">
      <text>
        <r>
          <rPr>
            <b/>
            <sz val="9"/>
            <color indexed="81"/>
            <rFont val="Tahoma"/>
            <family val="2"/>
          </rPr>
          <t>Oliver, Patricia G:</t>
        </r>
        <r>
          <rPr>
            <sz val="9"/>
            <color indexed="81"/>
            <rFont val="Tahoma"/>
            <family val="2"/>
          </rPr>
          <t xml:space="preserve">
Should automatically pull in</t>
        </r>
      </text>
    </comment>
    <comment ref="N6" authorId="0" shapeId="0">
      <text>
        <r>
          <rPr>
            <b/>
            <sz val="9"/>
            <color indexed="81"/>
            <rFont val="Tahoma"/>
            <family val="2"/>
          </rPr>
          <t>Oliver, Patricia G:</t>
        </r>
        <r>
          <rPr>
            <sz val="9"/>
            <color indexed="81"/>
            <rFont val="Tahoma"/>
            <family val="2"/>
          </rPr>
          <t xml:space="preserve">
Should automatically pull in</t>
        </r>
      </text>
    </comment>
    <comment ref="N7" authorId="0" shapeId="0">
      <text>
        <r>
          <rPr>
            <b/>
            <sz val="9"/>
            <color indexed="81"/>
            <rFont val="Tahoma"/>
            <family val="2"/>
          </rPr>
          <t>Oliver, Patricia G:</t>
        </r>
        <r>
          <rPr>
            <sz val="9"/>
            <color indexed="81"/>
            <rFont val="Tahoma"/>
            <family val="2"/>
          </rPr>
          <t xml:space="preserve">
Should automatically pull in</t>
        </r>
      </text>
    </comment>
    <comment ref="C12" authorId="0" shapeId="0">
      <text>
        <r>
          <rPr>
            <b/>
            <sz val="9"/>
            <color indexed="81"/>
            <rFont val="Tahoma"/>
            <family val="2"/>
          </rPr>
          <t>Oliver, Patricia G:</t>
        </r>
        <r>
          <rPr>
            <sz val="9"/>
            <color indexed="81"/>
            <rFont val="Tahoma"/>
            <family val="2"/>
          </rPr>
          <t xml:space="preserve">
Enter Start Date of new faculty</t>
        </r>
      </text>
    </comment>
    <comment ref="F12" authorId="0" shapeId="0">
      <text>
        <r>
          <rPr>
            <b/>
            <sz val="9"/>
            <color indexed="81"/>
            <rFont val="Tahoma"/>
            <family val="2"/>
          </rPr>
          <t xml:space="preserve">Oliver, Patricia G:
</t>
        </r>
        <r>
          <rPr>
            <sz val="9"/>
            <color indexed="81"/>
            <rFont val="Tahoma"/>
            <family val="2"/>
          </rPr>
          <t>Enter Base Salary which is included in the Faculty members offer letter</t>
        </r>
      </text>
    </comment>
    <comment ref="C13" authorId="0" shapeId="0">
      <text>
        <r>
          <rPr>
            <b/>
            <sz val="9"/>
            <color indexed="81"/>
            <rFont val="Tahoma"/>
            <family val="2"/>
          </rPr>
          <t>Oliver, Patricia G:</t>
        </r>
        <r>
          <rPr>
            <sz val="9"/>
            <color indexed="81"/>
            <rFont val="Tahoma"/>
            <family val="2"/>
          </rPr>
          <t xml:space="preserve">
Enter fully ramped up expected wRVU's</t>
        </r>
      </text>
    </comment>
    <comment ref="F13" authorId="0" shapeId="0">
      <text>
        <r>
          <rPr>
            <b/>
            <sz val="9"/>
            <color indexed="81"/>
            <rFont val="Tahoma"/>
            <family val="2"/>
          </rPr>
          <t>Oliver, Patricia G:</t>
        </r>
        <r>
          <rPr>
            <sz val="9"/>
            <color indexed="81"/>
            <rFont val="Tahoma"/>
            <family val="2"/>
          </rPr>
          <t xml:space="preserve">
Enter any Supplement that is included in their offer letter</t>
        </r>
      </text>
    </comment>
    <comment ref="L13" authorId="0" shapeId="0">
      <text>
        <r>
          <rPr>
            <b/>
            <sz val="9"/>
            <color indexed="81"/>
            <rFont val="Tahoma"/>
            <family val="2"/>
          </rPr>
          <t>Oliver, Patricia G:</t>
        </r>
        <r>
          <rPr>
            <sz val="9"/>
            <color indexed="81"/>
            <rFont val="Tahoma"/>
            <family val="2"/>
          </rPr>
          <t xml:space="preserve">
Anticipated peRVU's for a provider in a FP based clinic. (generally model off a current provider)</t>
        </r>
      </text>
    </comment>
    <comment ref="C14" authorId="0" shapeId="0">
      <text>
        <r>
          <rPr>
            <b/>
            <sz val="9"/>
            <color indexed="81"/>
            <rFont val="Tahoma"/>
            <family val="2"/>
          </rPr>
          <t>Oliver, Patricia G:</t>
        </r>
        <r>
          <rPr>
            <sz val="9"/>
            <color indexed="81"/>
            <rFont val="Tahoma"/>
            <family val="2"/>
          </rPr>
          <t xml:space="preserve">
Enter ASA units if applicable</t>
        </r>
      </text>
    </comment>
    <comment ref="F14" authorId="0" shapeId="0">
      <text>
        <r>
          <rPr>
            <b/>
            <sz val="9"/>
            <color indexed="81"/>
            <rFont val="Tahoma"/>
            <family val="2"/>
          </rPr>
          <t>Oliver, Patricia G:</t>
        </r>
        <r>
          <rPr>
            <sz val="9"/>
            <color indexed="81"/>
            <rFont val="Tahoma"/>
            <family val="2"/>
          </rPr>
          <t xml:space="preserve">
Enter any additional duty pay anticipated.</t>
        </r>
      </text>
    </comment>
    <comment ref="I14" authorId="0" shapeId="0">
      <text>
        <r>
          <rPr>
            <b/>
            <sz val="9"/>
            <color indexed="81"/>
            <rFont val="Tahoma"/>
            <family val="2"/>
          </rPr>
          <t>Oliver, Patricia G:</t>
        </r>
        <r>
          <rPr>
            <sz val="9"/>
            <color indexed="81"/>
            <rFont val="Tahoma"/>
            <family val="2"/>
          </rPr>
          <t xml:space="preserve">
Enter salary and benefits associated with research funding that is anticipated for this recruitment.</t>
        </r>
      </text>
    </comment>
    <comment ref="L14" authorId="0" shapeId="0">
      <text>
        <r>
          <rPr>
            <b/>
            <sz val="9"/>
            <color indexed="81"/>
            <rFont val="Tahoma"/>
            <family val="2"/>
          </rPr>
          <t>Oliver, Patricia G:</t>
        </r>
        <r>
          <rPr>
            <sz val="9"/>
            <color indexed="81"/>
            <rFont val="Tahoma"/>
            <family val="2"/>
          </rPr>
          <t xml:space="preserve">
if applicable enter the % of time the provider spends in a FP based Out Patient clinic</t>
        </r>
      </text>
    </comment>
    <comment ref="C15" authorId="0" shapeId="0">
      <text>
        <r>
          <rPr>
            <b/>
            <sz val="9"/>
            <color indexed="81"/>
            <rFont val="Tahoma"/>
            <family val="2"/>
          </rPr>
          <t>Oliver, Patricia G:</t>
        </r>
        <r>
          <rPr>
            <sz val="9"/>
            <color indexed="81"/>
            <rFont val="Tahoma"/>
            <family val="2"/>
          </rPr>
          <t xml:space="preserve">
Ancipated receipts for a fully ramped up provider</t>
        </r>
      </text>
    </comment>
    <comment ref="F15" authorId="0" shapeId="0">
      <text>
        <r>
          <rPr>
            <b/>
            <sz val="9"/>
            <color indexed="81"/>
            <rFont val="Tahoma"/>
            <family val="2"/>
          </rPr>
          <t>Oliver, Patricia G:</t>
        </r>
        <r>
          <rPr>
            <sz val="9"/>
            <color indexed="81"/>
            <rFont val="Tahoma"/>
            <family val="2"/>
          </rPr>
          <t xml:space="preserve">
Enter anticipated Incentive payment</t>
        </r>
      </text>
    </comment>
    <comment ref="I15" authorId="0" shapeId="0">
      <text>
        <r>
          <rPr>
            <b/>
            <sz val="9"/>
            <color indexed="81"/>
            <rFont val="Tahoma"/>
            <family val="2"/>
          </rPr>
          <t>Oliver, Patricia G:</t>
        </r>
        <r>
          <rPr>
            <sz val="9"/>
            <color indexed="81"/>
            <rFont val="Tahoma"/>
            <family val="2"/>
          </rPr>
          <t xml:space="preserve">
This cell will calculate the Cost Share + benefits</t>
        </r>
      </text>
    </comment>
    <comment ref="L15" authorId="0" shapeId="0">
      <text>
        <r>
          <rPr>
            <b/>
            <sz val="9"/>
            <color indexed="81"/>
            <rFont val="Tahoma"/>
            <family val="2"/>
          </rPr>
          <t>Oliver, Patricia G:</t>
        </r>
        <r>
          <rPr>
            <sz val="9"/>
            <color indexed="81"/>
            <rFont val="Tahoma"/>
            <family val="2"/>
          </rPr>
          <t xml:space="preserve">
estimated Clinical drug cost</t>
        </r>
      </text>
    </comment>
    <comment ref="C16" authorId="0" shapeId="0">
      <text>
        <r>
          <rPr>
            <b/>
            <sz val="9"/>
            <color indexed="81"/>
            <rFont val="Tahoma"/>
            <family val="2"/>
          </rPr>
          <t>Oliver, Patricia G:</t>
        </r>
        <r>
          <rPr>
            <sz val="9"/>
            <color indexed="81"/>
            <rFont val="Tahoma"/>
            <family val="2"/>
          </rPr>
          <t xml:space="preserve">
Enter UPL net of taxes if applicable</t>
        </r>
      </text>
    </comment>
    <comment ref="F16" authorId="0" shapeId="0">
      <text>
        <r>
          <rPr>
            <b/>
            <sz val="9"/>
            <color indexed="81"/>
            <rFont val="Tahoma"/>
            <family val="2"/>
          </rPr>
          <t>Oliver, Patricia G:</t>
        </r>
        <r>
          <rPr>
            <sz val="9"/>
            <color indexed="81"/>
            <rFont val="Tahoma"/>
            <family val="2"/>
          </rPr>
          <t xml:space="preserve">
Should automatically calculate benefits</t>
        </r>
      </text>
    </comment>
    <comment ref="I16" authorId="0" shapeId="0">
      <text>
        <r>
          <rPr>
            <b/>
            <sz val="9"/>
            <color indexed="81"/>
            <rFont val="Tahoma"/>
            <family val="2"/>
          </rPr>
          <t>Oliver, Patricia G:</t>
        </r>
        <r>
          <rPr>
            <sz val="9"/>
            <color indexed="81"/>
            <rFont val="Tahoma"/>
            <family val="2"/>
          </rPr>
          <t xml:space="preserve">
Enter salary and benefits associated with state funding that is anticipated for this recruitment.</t>
        </r>
      </text>
    </comment>
    <comment ref="C17" authorId="0" shapeId="0">
      <text>
        <r>
          <rPr>
            <b/>
            <sz val="9"/>
            <color indexed="81"/>
            <rFont val="Tahoma"/>
            <family val="2"/>
          </rPr>
          <t>Oliver, Patricia G:</t>
        </r>
        <r>
          <rPr>
            <sz val="9"/>
            <color indexed="81"/>
            <rFont val="Tahoma"/>
            <family val="2"/>
          </rPr>
          <t xml:space="preserve">
Enter any hospital contract income for this provider</t>
        </r>
      </text>
    </comment>
    <comment ref="F17" authorId="0" shapeId="0">
      <text>
        <r>
          <rPr>
            <b/>
            <sz val="9"/>
            <color indexed="81"/>
            <rFont val="Tahoma"/>
            <family val="2"/>
          </rPr>
          <t>Oliver, Patricia G:</t>
        </r>
        <r>
          <rPr>
            <sz val="9"/>
            <color indexed="81"/>
            <rFont val="Tahoma"/>
            <family val="2"/>
          </rPr>
          <t xml:space="preserve">
Enter anticipated Malpractice expense (generally model off a similar provider)</t>
        </r>
      </text>
    </comment>
    <comment ref="I17" authorId="0" shapeId="0">
      <text>
        <r>
          <rPr>
            <b/>
            <sz val="9"/>
            <color indexed="81"/>
            <rFont val="Tahoma"/>
            <family val="2"/>
          </rPr>
          <t>Oliver, Patricia G:</t>
        </r>
        <r>
          <rPr>
            <sz val="9"/>
            <color indexed="81"/>
            <rFont val="Tahoma"/>
            <family val="2"/>
          </rPr>
          <t xml:space="preserve">
Enter salary and benefits associated with trust/contract trust funding that is anticipated for this recruitment.</t>
        </r>
      </text>
    </comment>
    <comment ref="L17" authorId="0" shapeId="0">
      <text>
        <r>
          <rPr>
            <b/>
            <sz val="9"/>
            <color indexed="81"/>
            <rFont val="Tahoma"/>
            <family val="2"/>
          </rPr>
          <t>Oliver, Patricia G:</t>
        </r>
        <r>
          <rPr>
            <sz val="9"/>
            <color indexed="81"/>
            <rFont val="Tahoma"/>
            <family val="2"/>
          </rPr>
          <t xml:space="preserve">
Estimated other expenses for this new provider including any special allocations (e.g. book and travel funding, other clinic expense)</t>
        </r>
      </text>
    </comment>
    <comment ref="C18" authorId="0" shapeId="0">
      <text>
        <r>
          <rPr>
            <b/>
            <sz val="9"/>
            <color indexed="81"/>
            <rFont val="Tahoma"/>
            <family val="2"/>
          </rPr>
          <t>Oliver, Patricia G:</t>
        </r>
        <r>
          <rPr>
            <sz val="9"/>
            <color indexed="81"/>
            <rFont val="Tahoma"/>
            <family val="2"/>
          </rPr>
          <t xml:space="preserve">
Enter any outside contract income being billed and collected to be deposited in the Clincial ledger (FP)</t>
        </r>
      </text>
    </comment>
    <comment ref="F18" authorId="0" shapeId="0">
      <text>
        <r>
          <rPr>
            <b/>
            <sz val="9"/>
            <color indexed="81"/>
            <rFont val="Tahoma"/>
            <family val="2"/>
          </rPr>
          <t xml:space="preserve">Oliver, Patricia G:
</t>
        </r>
        <r>
          <rPr>
            <sz val="9"/>
            <color indexed="81"/>
            <rFont val="Tahoma"/>
            <family val="2"/>
          </rPr>
          <t>Anticipated increase % for expenses</t>
        </r>
      </text>
    </comment>
    <comment ref="L18" authorId="0" shapeId="0">
      <text>
        <r>
          <rPr>
            <b/>
            <sz val="9"/>
            <color indexed="81"/>
            <rFont val="Tahoma"/>
            <family val="2"/>
          </rPr>
          <t>Oliver, Patricia G:</t>
        </r>
        <r>
          <rPr>
            <sz val="9"/>
            <color indexed="81"/>
            <rFont val="Tahoma"/>
            <family val="2"/>
          </rPr>
          <t xml:space="preserve">
Direct research expense that should be covered by Contracts and Grants.</t>
        </r>
      </text>
    </comment>
    <comment ref="C19" authorId="0" shapeId="0">
      <text>
        <r>
          <rPr>
            <b/>
            <sz val="9"/>
            <color indexed="81"/>
            <rFont val="Tahoma"/>
            <family val="2"/>
          </rPr>
          <t>Oliver, Patricia G:</t>
        </r>
        <r>
          <rPr>
            <sz val="9"/>
            <color indexed="81"/>
            <rFont val="Tahoma"/>
            <family val="2"/>
          </rPr>
          <t xml:space="preserve">
Include any APP funding associated with this new provider</t>
        </r>
      </text>
    </comment>
    <comment ref="L19" authorId="0" shapeId="0">
      <text>
        <r>
          <rPr>
            <b/>
            <sz val="9"/>
            <color indexed="81"/>
            <rFont val="Tahoma"/>
            <family val="2"/>
          </rPr>
          <t>Oliver, Patricia G:</t>
        </r>
        <r>
          <rPr>
            <sz val="9"/>
            <color indexed="81"/>
            <rFont val="Tahoma"/>
            <family val="2"/>
          </rPr>
          <t xml:space="preserve">
Non personnel expenses not covered by contracts and grants</t>
        </r>
      </text>
    </comment>
    <comment ref="C20" authorId="0" shapeId="0">
      <text>
        <r>
          <rPr>
            <b/>
            <sz val="9"/>
            <color indexed="81"/>
            <rFont val="Tahoma"/>
            <family val="2"/>
          </rPr>
          <t>Oliver, Patricia G:</t>
        </r>
        <r>
          <rPr>
            <sz val="9"/>
            <color indexed="81"/>
            <rFont val="Tahoma"/>
            <family val="2"/>
          </rPr>
          <t xml:space="preserve">
Include any anticipated state funding for this new Faculty member (eg Chair commitment)</t>
        </r>
      </text>
    </comment>
    <comment ref="L20" authorId="0" shapeId="0">
      <text>
        <r>
          <rPr>
            <b/>
            <sz val="9"/>
            <color indexed="81"/>
            <rFont val="Tahoma"/>
            <family val="2"/>
          </rPr>
          <t>Oliver, Patricia G:</t>
        </r>
        <r>
          <rPr>
            <sz val="9"/>
            <color indexed="81"/>
            <rFont val="Tahoma"/>
            <family val="2"/>
          </rPr>
          <t xml:space="preserve">
Startup funding for Faculty. Enter total amount (front loaded into year 1)</t>
        </r>
      </text>
    </comment>
    <comment ref="C21" authorId="0" shapeId="0">
      <text>
        <r>
          <rPr>
            <b/>
            <sz val="9"/>
            <color indexed="81"/>
            <rFont val="Tahoma"/>
            <family val="2"/>
          </rPr>
          <t>Oliver, Patricia G:</t>
        </r>
        <r>
          <rPr>
            <sz val="9"/>
            <color indexed="81"/>
            <rFont val="Tahoma"/>
            <family val="2"/>
          </rPr>
          <t xml:space="preserve">
Enter anticipated F&amp;A funding allocated and/or generated for this new Faculty member. Returned F&amp;A</t>
        </r>
      </text>
    </comment>
    <comment ref="L21" authorId="0" shapeId="0">
      <text>
        <r>
          <rPr>
            <b/>
            <sz val="9"/>
            <color indexed="81"/>
            <rFont val="Tahoma"/>
            <family val="2"/>
          </rPr>
          <t>Oliver, Patricia G:</t>
        </r>
        <r>
          <rPr>
            <sz val="9"/>
            <color indexed="81"/>
            <rFont val="Tahoma"/>
            <family val="2"/>
          </rPr>
          <t xml:space="preserve">
Estimated start up expenses for the lab and other expenses for this new faculty members lab. Enter total amount.  (front loaded in year 1)</t>
        </r>
      </text>
    </comment>
    <comment ref="C22" authorId="0" shapeId="0">
      <text>
        <r>
          <rPr>
            <b/>
            <sz val="9"/>
            <color indexed="81"/>
            <rFont val="Tahoma"/>
            <family val="2"/>
          </rPr>
          <t>Oliver, Patricia G:</t>
        </r>
        <r>
          <rPr>
            <sz val="9"/>
            <color indexed="81"/>
            <rFont val="Tahoma"/>
            <family val="2"/>
          </rPr>
          <t xml:space="preserve">
Enter any outside contracts and grants direct revenue for faculty member, annual amount</t>
        </r>
      </text>
    </comment>
    <comment ref="F22" authorId="0" shapeId="0">
      <text>
        <r>
          <rPr>
            <b/>
            <sz val="9"/>
            <color indexed="81"/>
            <rFont val="Tahoma"/>
            <family val="2"/>
          </rPr>
          <t>Oliver, Patricia G:</t>
        </r>
        <r>
          <rPr>
            <sz val="9"/>
            <color indexed="81"/>
            <rFont val="Tahoma"/>
            <family val="2"/>
          </rPr>
          <t xml:space="preserve">
Include new cost associated with an APP if applicable.
</t>
        </r>
      </text>
    </comment>
    <comment ref="C23" authorId="0" shapeId="0">
      <text>
        <r>
          <rPr>
            <b/>
            <sz val="9"/>
            <color indexed="81"/>
            <rFont val="Tahoma"/>
            <family val="2"/>
          </rPr>
          <t>Oliver, Patricia G:</t>
        </r>
        <r>
          <rPr>
            <sz val="9"/>
            <color indexed="81"/>
            <rFont val="Tahoma"/>
            <family val="2"/>
          </rPr>
          <t xml:space="preserve">
Enter anticipated Professorship and/or trust funds associated with this new Faculty member (yearly amount)</t>
        </r>
      </text>
    </comment>
    <comment ref="F23" authorId="0" shapeId="0">
      <text>
        <r>
          <rPr>
            <b/>
            <sz val="9"/>
            <color indexed="81"/>
            <rFont val="Tahoma"/>
            <family val="2"/>
          </rPr>
          <t xml:space="preserve">Oliver, Patricia G:
</t>
        </r>
        <r>
          <rPr>
            <sz val="9"/>
            <color indexed="81"/>
            <rFont val="Tahoma"/>
            <family val="2"/>
          </rPr>
          <t>Anticipated Research/lab staff salary and benefits (yearly amount)</t>
        </r>
      </text>
    </comment>
    <comment ref="C24" authorId="0" shapeId="0">
      <text>
        <r>
          <rPr>
            <b/>
            <sz val="9"/>
            <color indexed="81"/>
            <rFont val="Tahoma"/>
            <family val="2"/>
          </rPr>
          <t>Oliver, Patricia G:</t>
        </r>
        <r>
          <rPr>
            <sz val="9"/>
            <color indexed="81"/>
            <rFont val="Tahoma"/>
            <family val="2"/>
          </rPr>
          <t xml:space="preserve">
Enter anticipated startup funding allocated to this new Faculty member (front loaded to year 1, eg DO, OoR)</t>
        </r>
      </text>
    </comment>
    <comment ref="F24" authorId="0" shapeId="0">
      <text>
        <r>
          <rPr>
            <b/>
            <sz val="9"/>
            <color indexed="81"/>
            <rFont val="Tahoma"/>
            <family val="2"/>
          </rPr>
          <t xml:space="preserve">Oliver, Patricia G:
</t>
        </r>
        <r>
          <rPr>
            <sz val="9"/>
            <color indexed="81"/>
            <rFont val="Tahoma"/>
            <family val="2"/>
          </rPr>
          <t>Anticipated PhD student salary and benefits</t>
        </r>
      </text>
    </comment>
  </commentList>
</comments>
</file>

<file path=xl/sharedStrings.xml><?xml version="1.0" encoding="utf-8"?>
<sst xmlns="http://schemas.openxmlformats.org/spreadsheetml/2006/main" count="5332" uniqueCount="643">
  <si>
    <t>Supplement</t>
  </si>
  <si>
    <t>Other</t>
  </si>
  <si>
    <t>Dean's Funds</t>
  </si>
  <si>
    <t>Enterprise Funds</t>
  </si>
  <si>
    <t>Contracts &amp; Grants</t>
  </si>
  <si>
    <t>Hospital Contracts</t>
  </si>
  <si>
    <t>Funding Source Types</t>
  </si>
  <si>
    <t>&lt;Select&gt;</t>
  </si>
  <si>
    <t>NOTES:</t>
  </si>
  <si>
    <t xml:space="preserve">1) </t>
  </si>
  <si>
    <t xml:space="preserve">2) </t>
  </si>
  <si>
    <t xml:space="preserve">3) </t>
  </si>
  <si>
    <t>Total</t>
  </si>
  <si>
    <t>External Dept</t>
  </si>
  <si>
    <t>Department Role</t>
  </si>
  <si>
    <t>Education Role</t>
  </si>
  <si>
    <t>Use this to indicate roles funded by 3-14801</t>
  </si>
  <si>
    <t>Use this to indicate roles funded by 3-14833</t>
  </si>
  <si>
    <t>If you use different parameters, be sure to change this note</t>
  </si>
  <si>
    <t>wRVUs</t>
  </si>
  <si>
    <t>UCRF</t>
  </si>
  <si>
    <t>Appt FTE:</t>
  </si>
  <si>
    <t>Clinical FTE:</t>
  </si>
  <si>
    <t>UNC Faculty Physicians</t>
  </si>
  <si>
    <t>MGMA Specialty</t>
  </si>
  <si>
    <t>2015 wRVU Comp Median</t>
  </si>
  <si>
    <t>2016 wRVU Comp Median</t>
  </si>
  <si>
    <t>2017 wRVU Comp Median</t>
  </si>
  <si>
    <t>2018 MGMA wRVU Average</t>
  </si>
  <si>
    <t>2015 Provider Count</t>
  </si>
  <si>
    <t>2016 Provider Count</t>
  </si>
  <si>
    <t>2017 Provider Count</t>
  </si>
  <si>
    <t>2018 wRVU Provider Count Average</t>
  </si>
  <si>
    <t>2015 MGMA Comp Median</t>
  </si>
  <si>
    <t>2016 MGMA Comp Median</t>
  </si>
  <si>
    <t>2017 MGMA Comp Median</t>
  </si>
  <si>
    <t>2018 MGMA Comp Average</t>
  </si>
  <si>
    <t>2018 Comp Provider Count Average</t>
  </si>
  <si>
    <t>$ per wRVU</t>
  </si>
  <si>
    <t>Low N</t>
  </si>
  <si>
    <t>Count of UNCFP Providers</t>
  </si>
  <si>
    <t>Allergy/Immunology</t>
  </si>
  <si>
    <t>Anesthesiology</t>
  </si>
  <si>
    <t>Anesthesiology: Pain Management</t>
  </si>
  <si>
    <t>Cardiology: Electrophysiology</t>
  </si>
  <si>
    <t>Cardiology: Invasive</t>
  </si>
  <si>
    <t>Cardiology: Invasive-Interventional</t>
  </si>
  <si>
    <t>Cardiology: Noninvasive</t>
  </si>
  <si>
    <t>Critical Care: Intensivist</t>
  </si>
  <si>
    <t>Dermatology</t>
  </si>
  <si>
    <t>Dermatology: Dermatopathology</t>
  </si>
  <si>
    <t>*</t>
  </si>
  <si>
    <t>Dermatology: Mohs Surgery</t>
  </si>
  <si>
    <t>Emergency Medicine</t>
  </si>
  <si>
    <t>Endocrinology/Metabolism</t>
  </si>
  <si>
    <t>Family Medicine (with OB)</t>
  </si>
  <si>
    <t>Family Medicine (without OB)</t>
  </si>
  <si>
    <t>Family Medicine: Ambulatory Only (No Inpatient Work)</t>
  </si>
  <si>
    <t>Family Medicine: Sports Medicine</t>
  </si>
  <si>
    <t>Gastroenterology</t>
  </si>
  <si>
    <t>Gastroenterology: Hepatology</t>
  </si>
  <si>
    <t>Genetics</t>
  </si>
  <si>
    <t>`</t>
  </si>
  <si>
    <t>Geriatrics</t>
  </si>
  <si>
    <t>Hematology/Oncology</t>
  </si>
  <si>
    <t>Hematology/Oncology: Oncology (Only)</t>
  </si>
  <si>
    <t>Hospice/Palliative Care</t>
  </si>
  <si>
    <t>Hospitalist: Internal Medicine</t>
  </si>
  <si>
    <t>Infectious Disease</t>
  </si>
  <si>
    <t>Internal Medicine: Ambulatory Only (No Inpatient Work)</t>
  </si>
  <si>
    <t>Internal Medicine: General</t>
  </si>
  <si>
    <t>Nephrology</t>
  </si>
  <si>
    <t>Neurology</t>
  </si>
  <si>
    <t>Neurology: Epilepsy/EEG</t>
  </si>
  <si>
    <t>Neurology: Neuromuscular</t>
  </si>
  <si>
    <t>Neurology: Stroke Medicine</t>
  </si>
  <si>
    <t>OB/GYN: Gynecological Oncology</t>
  </si>
  <si>
    <t>OB/GYN: Gynecology (Only)</t>
  </si>
  <si>
    <t>OB/GYN: Maternal and Fetal Medicine</t>
  </si>
  <si>
    <t>OB/GYN: Reproductive Endocrinology</t>
  </si>
  <si>
    <t>OB/GYN: Urogynecology</t>
  </si>
  <si>
    <t>Obstetrics/Gynecology: General</t>
  </si>
  <si>
    <t>Ophthalmology</t>
  </si>
  <si>
    <t>Ophthalmology: Corneal and Refractive Surgery</t>
  </si>
  <si>
    <t>Ophthalmology: Glaucoma</t>
  </si>
  <si>
    <t>Ophthalmology: Neurology</t>
  </si>
  <si>
    <t>Ophthalmology: Oculoplastic and Recon Surgery</t>
  </si>
  <si>
    <t>Ophthalmology: Retina</t>
  </si>
  <si>
    <t>Orthopedic (Nonsurgical)</t>
  </si>
  <si>
    <t>Orthopedic Surgery: Foot and Ankle</t>
  </si>
  <si>
    <t>Orthopedic Surgery: General</t>
  </si>
  <si>
    <t>Orthopedic Surgery: Hand</t>
  </si>
  <si>
    <t>Orthopedic Surgery: Hip and Joint</t>
  </si>
  <si>
    <t>Orthopedic Surgery: Oncology</t>
  </si>
  <si>
    <t>Orthopedic Surgery: Shoulder/Elbow</t>
  </si>
  <si>
    <t>Orthopedic Surgery: Spine</t>
  </si>
  <si>
    <t>Orthopedic Surgery: Sports Medicine</t>
  </si>
  <si>
    <t>Orthopedic Surgery: Trauma</t>
  </si>
  <si>
    <t>Otorhinolaryngology</t>
  </si>
  <si>
    <t>Pathology: Anatomic</t>
  </si>
  <si>
    <t>Pathology: Anatomic and Clinical</t>
  </si>
  <si>
    <t>Pathology: Anatomic-Autopsy</t>
  </si>
  <si>
    <t>Pathology: Anatomic-Cytopathology</t>
  </si>
  <si>
    <t>Pathology: Anatomic-Neuropathology</t>
  </si>
  <si>
    <t>Pathology: Anatomic-Renal</t>
  </si>
  <si>
    <t>Pathology: Clinical</t>
  </si>
  <si>
    <t>Pathology: Clinical-Hematopathology</t>
  </si>
  <si>
    <t>Pathology: Surgical</t>
  </si>
  <si>
    <t>Pediatrics: Adolescent Medicine</t>
  </si>
  <si>
    <t>Pediatrics: Allergy/Immunology</t>
  </si>
  <si>
    <t>Pediatrics: Anesthesiology</t>
  </si>
  <si>
    <t>Pediatrics: Bone Marrow Transplant</t>
  </si>
  <si>
    <t>Pediatrics: Cardiology</t>
  </si>
  <si>
    <t>Pediatrics: Cardiovascular Surgery</t>
  </si>
  <si>
    <t>Pediatrics: Child Development</t>
  </si>
  <si>
    <t>Pediatrics: Critical Care/Intensivist</t>
  </si>
  <si>
    <t>Pediatrics: Dermatology</t>
  </si>
  <si>
    <t>Pediatrics: Emergency Medicine</t>
  </si>
  <si>
    <t>Pediatrics: Endocrinology</t>
  </si>
  <si>
    <t>Pediatrics: Gastroenterology</t>
  </si>
  <si>
    <t>Pediatrics: General</t>
  </si>
  <si>
    <t>Pediatrics: Genetics</t>
  </si>
  <si>
    <t>Pediatrics: Hematology/Oncology</t>
  </si>
  <si>
    <t>Pediatrics: Hospitalist</t>
  </si>
  <si>
    <t>Pediatrics: Hospitalist-Internal Medicine</t>
  </si>
  <si>
    <t>Pediatrics: Infectious Disease</t>
  </si>
  <si>
    <t>Pediatrics: Internal Medicine</t>
  </si>
  <si>
    <t>Pediatrics: Neonatal Medicine</t>
  </si>
  <si>
    <t>Pediatrics: Nephrology</t>
  </si>
  <si>
    <t>Pediatrics: Neurological Surgery</t>
  </si>
  <si>
    <t>Pediatrics: Neurology</t>
  </si>
  <si>
    <t>Pediatrics: Ophthalmology</t>
  </si>
  <si>
    <t>Pediatrics: Orthopedic Surgery</t>
  </si>
  <si>
    <t>Pediatrics: Otorhinolaryngology</t>
  </si>
  <si>
    <t>Pediatrics: Plastic and Reconstructive Surgery</t>
  </si>
  <si>
    <t>Pediatrics: Pulmonology</t>
  </si>
  <si>
    <t>Pediatrics: Radiology</t>
  </si>
  <si>
    <t>Pediatrics: Rheumatology</t>
  </si>
  <si>
    <t>Pediatrics: Surgery</t>
  </si>
  <si>
    <t>Pediatrics: Urgent Care</t>
  </si>
  <si>
    <t>Pediatrics: Urology</t>
  </si>
  <si>
    <t>Physiatry (Physical Medicine and Rehabilitation)</t>
  </si>
  <si>
    <t>Podiatry: General</t>
  </si>
  <si>
    <t>Psychiatry: Child and Adolescent</t>
  </si>
  <si>
    <t>Psychiatry: General</t>
  </si>
  <si>
    <t>Pulmonary Medicine: Critical Care</t>
  </si>
  <si>
    <t>Pulmonary Medicine: General</t>
  </si>
  <si>
    <t>Pulmonary Medicine: General and Critical Care</t>
  </si>
  <si>
    <t>Radiation Oncology</t>
  </si>
  <si>
    <t>Radiology: Diagnostic</t>
  </si>
  <si>
    <t>Radiology: Interventional</t>
  </si>
  <si>
    <t>Radiology: Neurological</t>
  </si>
  <si>
    <t>Radiology: Nuclear Medicine</t>
  </si>
  <si>
    <t>Rheumatology</t>
  </si>
  <si>
    <t>Sleep Medicine</t>
  </si>
  <si>
    <t>Surgery: Breast</t>
  </si>
  <si>
    <t>Surgery: Cardiovascular</t>
  </si>
  <si>
    <t>Surgery: Colon and Rectal</t>
  </si>
  <si>
    <t>Surgery: General</t>
  </si>
  <si>
    <t>Surgery: Neurological</t>
  </si>
  <si>
    <t>Surgery: Oncology</t>
  </si>
  <si>
    <t>Surgery: Oral</t>
  </si>
  <si>
    <t>Surgery: Plastic and Reconstruction</t>
  </si>
  <si>
    <t>Surgery: Plastic and Reconstruction-Hand</t>
  </si>
  <si>
    <t>Surgery: Thoracic (Primary)</t>
  </si>
  <si>
    <t>Surgery: Transplant</t>
  </si>
  <si>
    <t>Surgery: Transplant-Liver</t>
  </si>
  <si>
    <t>Surgery: Trauma</t>
  </si>
  <si>
    <t>Surgery: Trauma-Burn</t>
  </si>
  <si>
    <t>Surgery: Vascular (Primary)</t>
  </si>
  <si>
    <t>Urology</t>
  </si>
  <si>
    <t>Research</t>
  </si>
  <si>
    <t>Specialty</t>
  </si>
  <si>
    <t>Low N Replacement Used</t>
  </si>
  <si>
    <t>Pediatrics: Bone Marrow Transplan</t>
  </si>
  <si>
    <t>Not Used</t>
  </si>
  <si>
    <t>Department</t>
  </si>
  <si>
    <t>Family Medicine</t>
  </si>
  <si>
    <t>Medicine</t>
  </si>
  <si>
    <t>Neurosurgery</t>
  </si>
  <si>
    <t>Obstetrics Gynecology</t>
  </si>
  <si>
    <t>Orthopaedics</t>
  </si>
  <si>
    <t>Otolaryngology (Ent)</t>
  </si>
  <si>
    <t>Pathology Lab Med</t>
  </si>
  <si>
    <t>Pediatrics</t>
  </si>
  <si>
    <t>Physical Medicine Rehab</t>
  </si>
  <si>
    <t>Psychiatry</t>
  </si>
  <si>
    <t>Radiology</t>
  </si>
  <si>
    <t>Surgery</t>
  </si>
  <si>
    <t>&lt;Select Dept ID&gt;</t>
  </si>
  <si>
    <t>Check</t>
  </si>
  <si>
    <t>-</t>
  </si>
  <si>
    <t>Clinic Drug Costs</t>
  </si>
  <si>
    <t>&lt;Y or N&gt;</t>
  </si>
  <si>
    <t>Y</t>
  </si>
  <si>
    <t>N</t>
  </si>
  <si>
    <t>Benefits Reimbursement</t>
  </si>
  <si>
    <t>Start Date</t>
  </si>
  <si>
    <t>Malpractice Expense</t>
  </si>
  <si>
    <t>Base Salary</t>
  </si>
  <si>
    <t>Additional Duties Pay</t>
  </si>
  <si>
    <t>Outside Contracts</t>
  </si>
  <si>
    <t>Impact to UNC Faculty Physicians</t>
  </si>
  <si>
    <t>Outside Contracts Income</t>
  </si>
  <si>
    <t>YEAR 1</t>
  </si>
  <si>
    <t>YEAR 2</t>
  </si>
  <si>
    <t>YEAR 3</t>
  </si>
  <si>
    <t>Amount</t>
  </si>
  <si>
    <t>Fiscal Year End</t>
  </si>
  <si>
    <t>Hospital Contracts Income</t>
  </si>
  <si>
    <t>Revenue/Gain to FP</t>
  </si>
  <si>
    <t>Expense/Loss to FP</t>
  </si>
  <si>
    <t>3 YEAR TOTAL</t>
  </si>
  <si>
    <t>Tax on Net Receipts</t>
  </si>
  <si>
    <t>Prorated Amount</t>
  </si>
  <si>
    <t>Fiscal Year Beginning</t>
  </si>
  <si>
    <t>Input needed</t>
  </si>
  <si>
    <t>Formula Driven</t>
  </si>
  <si>
    <t>KEY</t>
  </si>
  <si>
    <t>Faculty Proforma</t>
  </si>
  <si>
    <t>Incentives</t>
  </si>
  <si>
    <t>CONTRIBUTION / (DEFICIT) TO UNC FP</t>
  </si>
  <si>
    <t>Annual Expense % +/-</t>
  </si>
  <si>
    <t>AMGA Otorhinolaryngology: Head &amp; Neck</t>
  </si>
  <si>
    <t>AMGA Pain Medicine - Non Anesthesiology</t>
  </si>
  <si>
    <t>$ per wRVU use in Model w/ Peds Bump</t>
  </si>
  <si>
    <t>Dept</t>
  </si>
  <si>
    <t>Survey</t>
  </si>
  <si>
    <t>PMT w/o Peds Boost</t>
  </si>
  <si>
    <t>PMT w/ Peds Boost</t>
  </si>
  <si>
    <t>FTEs</t>
  </si>
  <si>
    <t>Decision
(2 year term approval unless otherwise stated)</t>
  </si>
  <si>
    <t>Derm</t>
  </si>
  <si>
    <t>AMGA</t>
  </si>
  <si>
    <t>Approved</t>
  </si>
  <si>
    <t>x</t>
  </si>
  <si>
    <t>ENT</t>
  </si>
  <si>
    <t>MGMA</t>
  </si>
  <si>
    <t>Fam Med</t>
  </si>
  <si>
    <t>Med</t>
  </si>
  <si>
    <t>AAMC/FPSC</t>
  </si>
  <si>
    <t>Nephrology w/o Dialysis</t>
  </si>
  <si>
    <t>Ophth</t>
  </si>
  <si>
    <t>AUPO</t>
  </si>
  <si>
    <t>MGMA - low 'N'</t>
  </si>
  <si>
    <t>Ortho</t>
  </si>
  <si>
    <t>Orthopedic Oncology</t>
  </si>
  <si>
    <t>Path</t>
  </si>
  <si>
    <t>Peds</t>
  </si>
  <si>
    <t>PMR</t>
  </si>
  <si>
    <t>Surg</t>
  </si>
  <si>
    <t>Approved - 1 year term</t>
  </si>
  <si>
    <t>AAAP</t>
  </si>
  <si>
    <t>Approved w/ No Peds Boost</t>
  </si>
  <si>
    <t>NeuroSurg</t>
  </si>
  <si>
    <t>Denied</t>
  </si>
  <si>
    <t>Denied - Recommended to group with other Pathology Request</t>
  </si>
  <si>
    <t>Pending Follow-up on 9/24</t>
  </si>
  <si>
    <t>Change</t>
  </si>
  <si>
    <t>&lt;Select MGMA Specialty&gt;</t>
  </si>
  <si>
    <t>Total Salary/Benefits on Clinical Funds</t>
  </si>
  <si>
    <t>Practice Expense Reimbursement</t>
  </si>
  <si>
    <t>Related to FP based clinic?</t>
  </si>
  <si>
    <t>Will this provider practice at an FP based clinic? Dropdown Yes or No.</t>
  </si>
  <si>
    <t>Hospitalist: Family Medicine</t>
  </si>
  <si>
    <t>Ophthalmology: Oculoplastic and Reconstructive Surgery</t>
  </si>
  <si>
    <t>Pain Management: Nonanesthesia</t>
  </si>
  <si>
    <t>Pathology: Clinical-Transfusion Medicine</t>
  </si>
  <si>
    <t>Pediatrics: Neurosurgery</t>
  </si>
  <si>
    <t>Pediatrics: Plastic and Reconstruction Surgery</t>
  </si>
  <si>
    <t>Psychiatry: Addiction Medicine</t>
  </si>
  <si>
    <t>Psychiatry: Geriatric</t>
  </si>
  <si>
    <t>Surgery: Bariatric</t>
  </si>
  <si>
    <t>Otolaryngology - Head and Neck Surgery</t>
  </si>
  <si>
    <t>Pain Management - Non-Anesthesiology</t>
  </si>
  <si>
    <t>Family Medicine: Ambulatory Only</t>
  </si>
  <si>
    <t>Hospitalist: Nocturnists</t>
  </si>
  <si>
    <t>Input estimated % of outpatient peRVUs at FP based clinic.</t>
  </si>
  <si>
    <t>% of OP peRVUs at FP based clinic</t>
  </si>
  <si>
    <t>APP Net Receipts</t>
  </si>
  <si>
    <t>MD Net Receipts</t>
  </si>
  <si>
    <t>Specialty level</t>
  </si>
  <si>
    <t>Rate with Peds Boost</t>
  </si>
  <si>
    <t>WRVU</t>
  </si>
  <si>
    <t>ASA</t>
  </si>
  <si>
    <t>Replacement Yes or No?</t>
  </si>
  <si>
    <t>Replacement Specialty</t>
  </si>
  <si>
    <t>Replacement Rate</t>
  </si>
  <si>
    <t>Final Rate</t>
  </si>
  <si>
    <t>Peds Boost?</t>
  </si>
  <si>
    <t>Yes</t>
  </si>
  <si>
    <t>No</t>
  </si>
  <si>
    <t>Calculated Plug</t>
  </si>
  <si>
    <t>AMGA Dermatopathology</t>
  </si>
  <si>
    <t>AUPO Ophth: Neurology</t>
  </si>
  <si>
    <t>MD wRVUs (fully ramped up)</t>
  </si>
  <si>
    <t>MD ASA Units (fully ramped up)</t>
  </si>
  <si>
    <t>MD Net Receipts (fully ramped up)</t>
  </si>
  <si>
    <t>APP Net Receipts (fully ramped up)</t>
  </si>
  <si>
    <t xml:space="preserve">Estimated Benefits at 30%. Do not change this cell. </t>
  </si>
  <si>
    <t>Ramp Up %</t>
  </si>
  <si>
    <t>MD wRVUs and Surrogate wRVUs</t>
  </si>
  <si>
    <t>MD ASA Units</t>
  </si>
  <si>
    <t>Benefit Expense on Total Salary</t>
  </si>
  <si>
    <t>MD Salary &amp; Benefits (prorated for Start Dates)</t>
  </si>
  <si>
    <t>Malpractice Expense (prorated for Start Dates)</t>
  </si>
  <si>
    <t>MD Net Receipts (prorated for Start Dates)</t>
  </si>
  <si>
    <t>UPL (prorated for start dates)</t>
  </si>
  <si>
    <t>UPL Net of Taxes</t>
  </si>
  <si>
    <t>Clinical Funds (comp + benefits minus other sources of salary)</t>
  </si>
  <si>
    <t>Outside Contracts Income (on clinical funds)</t>
  </si>
  <si>
    <t>UPL (fully ramped up and already net of taxes)</t>
  </si>
  <si>
    <t>APP Salary &amp; Ben</t>
  </si>
  <si>
    <t>APP Salary &amp; Benefits (prorated for Start Dates)</t>
  </si>
  <si>
    <t>Volumes</t>
  </si>
  <si>
    <t>State Funding</t>
  </si>
  <si>
    <t>F&amp;A Funding</t>
  </si>
  <si>
    <r>
      <t xml:space="preserve">Contract &amp; Grant revenue </t>
    </r>
    <r>
      <rPr>
        <i/>
        <sz val="10"/>
        <rFont val="Arial"/>
        <family val="2"/>
      </rPr>
      <t>(Direct cost- full year)</t>
    </r>
  </si>
  <si>
    <r>
      <t xml:space="preserve">Trust Funds </t>
    </r>
    <r>
      <rPr>
        <i/>
        <sz val="10"/>
        <rFont val="Arial"/>
        <family val="2"/>
      </rPr>
      <t>(e.g. Professorship)</t>
    </r>
  </si>
  <si>
    <r>
      <t xml:space="preserve">Startup funding </t>
    </r>
    <r>
      <rPr>
        <i/>
        <sz val="10"/>
        <rFont val="Arial"/>
        <family val="2"/>
      </rPr>
      <t>(New Funding - total amount)</t>
    </r>
  </si>
  <si>
    <t>Research Staff ( salary and benefits)</t>
  </si>
  <si>
    <t>PhD students (salary, benefits &amp; tuition)</t>
  </si>
  <si>
    <t xml:space="preserve">Research </t>
  </si>
  <si>
    <t>NIH Cost Share</t>
  </si>
  <si>
    <t>Fringe Rate</t>
  </si>
  <si>
    <t>Estimated Fringe rate</t>
  </si>
  <si>
    <r>
      <t xml:space="preserve">Trust Funds </t>
    </r>
    <r>
      <rPr>
        <i/>
        <sz val="10"/>
        <rFont val="Arial"/>
        <family val="2"/>
      </rPr>
      <t>(Sal &amp; Ben)</t>
    </r>
  </si>
  <si>
    <r>
      <t xml:space="preserve">Other </t>
    </r>
    <r>
      <rPr>
        <i/>
        <sz val="10"/>
        <rFont val="Arial"/>
        <family val="2"/>
      </rPr>
      <t>(Sal &amp; Ben)</t>
    </r>
  </si>
  <si>
    <t>Direct non personnel charged to grants</t>
  </si>
  <si>
    <r>
      <t>Department/Other funded non personnel</t>
    </r>
    <r>
      <rPr>
        <i/>
        <sz val="10"/>
        <rFont val="Arial"/>
        <family val="2"/>
      </rPr>
      <t xml:space="preserve"> (e.g. lab &amp; faculty supplies)</t>
    </r>
  </si>
  <si>
    <t>Startup funding for Faculty</t>
  </si>
  <si>
    <t>Startup funding for lab</t>
  </si>
  <si>
    <r>
      <t>Research Funds</t>
    </r>
    <r>
      <rPr>
        <i/>
        <sz val="10"/>
        <rFont val="Arial"/>
        <family val="2"/>
      </rPr>
      <t xml:space="preserve"> (Sal &amp; Ben)</t>
    </r>
  </si>
  <si>
    <r>
      <t>Cost Share</t>
    </r>
    <r>
      <rPr>
        <i/>
        <sz val="10"/>
        <rFont val="Arial"/>
        <family val="2"/>
      </rPr>
      <t xml:space="preserve"> (Sal &amp; Ben)</t>
    </r>
  </si>
  <si>
    <r>
      <t xml:space="preserve">State Funds </t>
    </r>
    <r>
      <rPr>
        <i/>
        <sz val="10"/>
        <rFont val="Arial"/>
        <family val="2"/>
      </rPr>
      <t>(Sal &amp; Ben)</t>
    </r>
  </si>
  <si>
    <t>Trust Funds</t>
  </si>
  <si>
    <t>Startup Funding</t>
  </si>
  <si>
    <t>Contract and Grant Receipts</t>
  </si>
  <si>
    <t>Startup expenses</t>
  </si>
  <si>
    <t>Research Staff Salary &amp; Benefits (prorated for Start Dates)</t>
  </si>
  <si>
    <t>Research expenses</t>
  </si>
  <si>
    <t>Research Salary &amp; Ben</t>
  </si>
  <si>
    <t>Compensation Funding (total comp + benefits)</t>
  </si>
  <si>
    <t>Tenure Track</t>
  </si>
  <si>
    <t>Rank</t>
  </si>
  <si>
    <t>Term</t>
  </si>
  <si>
    <t>Open</t>
  </si>
  <si>
    <t>Fixed-Term</t>
  </si>
  <si>
    <t>Track</t>
  </si>
  <si>
    <t>Instructor</t>
  </si>
  <si>
    <t>Assistant</t>
  </si>
  <si>
    <t>Associate</t>
  </si>
  <si>
    <t>Professor</t>
  </si>
  <si>
    <t>&lt;-Drop Down</t>
  </si>
  <si>
    <t>Tenure</t>
  </si>
  <si>
    <t>Name of employee(s) proforma is modeled after</t>
  </si>
  <si>
    <t>Hospitalist: OB/GYN</t>
  </si>
  <si>
    <t>Pediatrics: Sports Medicine</t>
  </si>
  <si>
    <t>Psychiatry: Chemical Dependency</t>
  </si>
  <si>
    <t>Psychiatry: Forensic</t>
  </si>
  <si>
    <t>Surgery: Endocrine</t>
  </si>
  <si>
    <t>Surgery: Endovascular (Primary)</t>
  </si>
  <si>
    <t>Surgery: Transplant-Heart</t>
  </si>
  <si>
    <t>Surgery: Transplant-Kidney</t>
  </si>
  <si>
    <t>Urgent Care</t>
  </si>
  <si>
    <t>MGMA FY22 Rate</t>
  </si>
  <si>
    <t>AMGA Dermatology: Mohs Surgery</t>
  </si>
  <si>
    <t>AUPO Ophth: Oculoplastic and Recon Surgery</t>
  </si>
  <si>
    <t>Replacement Rate AMGA</t>
  </si>
  <si>
    <t>Replacement Rate AAMC/FPSC</t>
  </si>
  <si>
    <t>Neurointensivisit/Neuro Critical Care (AMGA)</t>
  </si>
  <si>
    <t>Nephrology w/o Dialysis (AAMC/FPSC)</t>
  </si>
  <si>
    <t>Nocturnists (AMGA)</t>
  </si>
  <si>
    <t>Pain Management - Non-Anesthesiology (AMGA)</t>
  </si>
  <si>
    <t>Palliative Care (AMGA)</t>
  </si>
  <si>
    <t>AAAP Pediatrics Dermatology</t>
  </si>
  <si>
    <t>AMGA Pediatrics Neurosurgery</t>
  </si>
  <si>
    <t>AAAP Pediatrics Bone Marrow Transplant</t>
  </si>
  <si>
    <t>Medical Malpractice Expense</t>
  </si>
  <si>
    <t>State Funds Income</t>
  </si>
  <si>
    <t>Contracts and Grants Receipts</t>
  </si>
  <si>
    <t>Fiscal Year 2023</t>
  </si>
  <si>
    <t>Assistant Professor</t>
  </si>
  <si>
    <t>Associate Professor</t>
  </si>
  <si>
    <t>Chair</t>
  </si>
  <si>
    <t>Chief</t>
  </si>
  <si>
    <t>&lt;Select Rank&gt;</t>
  </si>
  <si>
    <t>AAMC Total Comp:</t>
  </si>
  <si>
    <t>CPSC Median wRVUs:</t>
  </si>
  <si>
    <t>Rank:</t>
  </si>
  <si>
    <t>Select AAMC Specialty here.</t>
  </si>
  <si>
    <t>Select CPSC Specialty here.</t>
  </si>
  <si>
    <t>Research FTE:</t>
  </si>
  <si>
    <t>2022 FPSC/CPSC wRVU Benchmarks for all Specialties</t>
  </si>
  <si>
    <t>On an annual basis, the CPSC calculates the specialty-specific RVU benchmarks using a sampling methodology where we collect validated CFTE data from members. The RVU benchmarks are developed per 1.0 CFTE for each specialty.</t>
  </si>
  <si>
    <t>Mean</t>
  </si>
  <si>
    <t>25th Percentile</t>
  </si>
  <si>
    <t>50th Percentile</t>
  </si>
  <si>
    <t>65th Percentile</t>
  </si>
  <si>
    <t>75th Percentile</t>
  </si>
  <si>
    <t>90th Percentile</t>
  </si>
  <si>
    <t>Addiction Medicine</t>
  </si>
  <si>
    <t>Allergy / Immunology</t>
  </si>
  <si>
    <t>Ambulatory Gynecology</t>
  </si>
  <si>
    <t>Audiology</t>
  </si>
  <si>
    <t>Bone Marrow Transplant</t>
  </si>
  <si>
    <t>Cardiology: General</t>
  </si>
  <si>
    <t>Cardiology: Invasive Interventional</t>
  </si>
  <si>
    <t>Clinical Genetics</t>
  </si>
  <si>
    <t>Critical Care</t>
  </si>
  <si>
    <t>Dermatology: Melanoma and Skin Cancer</t>
  </si>
  <si>
    <t>Dermatopathology</t>
  </si>
  <si>
    <t>Endocrinology / Metabolism</t>
  </si>
  <si>
    <t>General Internal Medicine</t>
  </si>
  <si>
    <t>Gynecological Oncology</t>
  </si>
  <si>
    <t>Gynecology</t>
  </si>
  <si>
    <t>Hematology</t>
  </si>
  <si>
    <t>Hematology: Malignant Disorders</t>
  </si>
  <si>
    <t>Hepatology</t>
  </si>
  <si>
    <t>Hospitalists</t>
  </si>
  <si>
    <t>Maternal and Fetal Medicine</t>
  </si>
  <si>
    <t>Medical Oncology with Infusion</t>
  </si>
  <si>
    <t>Medical Oncology without Infusion</t>
  </si>
  <si>
    <t>Medical Oncology: Breast Cancer</t>
  </si>
  <si>
    <t>Medical Oncology: GI Cancer</t>
  </si>
  <si>
    <t>MOHS Surgery</t>
  </si>
  <si>
    <t>Nephrology without Dialysis</t>
  </si>
  <si>
    <t>Neurology: Alzheimers / Dementia</t>
  </si>
  <si>
    <t>Neurology: Epilepsy / EEG</t>
  </si>
  <si>
    <t>Neurology: General</t>
  </si>
  <si>
    <t>Neurology: Movement Disorders</t>
  </si>
  <si>
    <t>Neurology: Stroke</t>
  </si>
  <si>
    <t>Neuropsychology</t>
  </si>
  <si>
    <t>Nuclear Medicine</t>
  </si>
  <si>
    <t>Obstetrics / Gynecology</t>
  </si>
  <si>
    <t>Ophthalmology: Corneal / Refractive Surgery</t>
  </si>
  <si>
    <t>Ophthalmology: General / Comprehensive</t>
  </si>
  <si>
    <t>Ophthalmology: Neuro</t>
  </si>
  <si>
    <t>Ophthalmology: Oculoplastic / Reconstructive Surgery</t>
  </si>
  <si>
    <t>Ophthalmology: Optometry</t>
  </si>
  <si>
    <t>Ophthalmology: Pediatric</t>
  </si>
  <si>
    <t>Ophthalmology: Retinal</t>
  </si>
  <si>
    <t>Orthopedic Surgery: Foot / Ankle</t>
  </si>
  <si>
    <t>Orthopedic Surgery: Joint</t>
  </si>
  <si>
    <t>Orthopedic Surgery: Pediatric</t>
  </si>
  <si>
    <t>Orthopedic Surgery: Shoulder / Elbow</t>
  </si>
  <si>
    <t>Other Therapy Providers</t>
  </si>
  <si>
    <t>Otorhinolaryngology: Head and Neck Cancer</t>
  </si>
  <si>
    <t>Pain Management</t>
  </si>
  <si>
    <t>Palliative Care</t>
  </si>
  <si>
    <t>Pathology: Cytopathology</t>
  </si>
  <si>
    <t>Pathology: Hematopathology</t>
  </si>
  <si>
    <t>Pediatric Hematology: Malignant Disorders</t>
  </si>
  <si>
    <t>Pediatrics: Allergy / Immunology</t>
  </si>
  <si>
    <t>Pediatrics: Cardiology Interventional</t>
  </si>
  <si>
    <t>Pediatrics: Cardiology-Invasive</t>
  </si>
  <si>
    <t>Pediatrics: Cardiology-Noninvasive</t>
  </si>
  <si>
    <t>Pediatrics: Critical Care</t>
  </si>
  <si>
    <t>Pediatrics: Developmental</t>
  </si>
  <si>
    <t>Pediatrics: Hematology / Oncology</t>
  </si>
  <si>
    <t>Pediatrics: Hospitalists</t>
  </si>
  <si>
    <t>Pediatrics: Psychiatry</t>
  </si>
  <si>
    <t>Pediatrics: Psychology</t>
  </si>
  <si>
    <t>Pediatrics: Rehabilitation</t>
  </si>
  <si>
    <t>Physical Medicine: General</t>
  </si>
  <si>
    <t>Physical Medicine: Neurological</t>
  </si>
  <si>
    <t>Physical Medicine: Pain and Spine</t>
  </si>
  <si>
    <t>Physical Medicine: Sports - MSK</t>
  </si>
  <si>
    <t>Physical Therapy</t>
  </si>
  <si>
    <t>Podiatry</t>
  </si>
  <si>
    <t>Psychology</t>
  </si>
  <si>
    <t>Pulmonary Disease</t>
  </si>
  <si>
    <t>Radiation Oncology: Breast Cancer</t>
  </si>
  <si>
    <t>Radiation Oncology: Genitourinary Cancer</t>
  </si>
  <si>
    <t>Radiation Oncology: Head and Neck Cancer</t>
  </si>
  <si>
    <t>Reproductive Endocrinology</t>
  </si>
  <si>
    <t>Social Worker</t>
  </si>
  <si>
    <t>Surgery: Burn</t>
  </si>
  <si>
    <t>Surgery: Cardiac</t>
  </si>
  <si>
    <t>Surgery: Pediatric</t>
  </si>
  <si>
    <t>Surgery: Pediatric Cardiac</t>
  </si>
  <si>
    <t>Surgery: Pediatric Neurosurgery</t>
  </si>
  <si>
    <t>Surgery: Plastic</t>
  </si>
  <si>
    <t>Surgery: Thoracic</t>
  </si>
  <si>
    <t>Surgery: Vascular</t>
  </si>
  <si>
    <t>Surgical Oncology</t>
  </si>
  <si>
    <t>Surgical Oncology: Breast</t>
  </si>
  <si>
    <t>Transplant Surgery: General</t>
  </si>
  <si>
    <t>Transplant Surgery: Kidney</t>
  </si>
  <si>
    <t>Transplant Surgery: Liver</t>
  </si>
  <si>
    <t>Uro-Gynecology</t>
  </si>
  <si>
    <t>Urology: Urologic Cancer</t>
  </si>
  <si>
    <t>&lt;Select CPSC Specialty&gt;</t>
  </si>
  <si>
    <t>Adolescent Medicine</t>
  </si>
  <si>
    <t>Allergy/Immunology-Med.</t>
  </si>
  <si>
    <t>Allergy/Immunology-Peds.</t>
  </si>
  <si>
    <t>Anesthesiology: General</t>
  </si>
  <si>
    <t>Anesthesiology: Pediatric</t>
  </si>
  <si>
    <t>Cardiology: Invasive Interventional-Med.</t>
  </si>
  <si>
    <t>Cardiology: Invasive Non-interventional-Med.</t>
  </si>
  <si>
    <t>Cardiology: Non-invasive-Med.</t>
  </si>
  <si>
    <t>Cardiology: Total</t>
  </si>
  <si>
    <t>CLINICAL SCIENCE - TOTAL ALL DEPARTMENTS/SPECIALTIES</t>
  </si>
  <si>
    <t>Community Health</t>
  </si>
  <si>
    <t>Critical/Intensive Care-Med.</t>
  </si>
  <si>
    <t>Critical/Intensive Care-Peds.</t>
  </si>
  <si>
    <t>Dermatology (excluding Mohs Surgery)</t>
  </si>
  <si>
    <t>Diagnostic Radiology: Interventional</t>
  </si>
  <si>
    <t>Diagnostic Radiology: Non-interventional</t>
  </si>
  <si>
    <t>Diagnostic Radiology: Total</t>
  </si>
  <si>
    <t>Emergency Medicine-Peds.</t>
  </si>
  <si>
    <t>Endocrinology-Med.</t>
  </si>
  <si>
    <t>Endocrinology-Peds.</t>
  </si>
  <si>
    <t>Family Medicine: General</t>
  </si>
  <si>
    <t>Family Medicine: Other</t>
  </si>
  <si>
    <t>Gastroenterology-Med.</t>
  </si>
  <si>
    <t>Gastroenterology-Peds.</t>
  </si>
  <si>
    <t>General Pediatrics</t>
  </si>
  <si>
    <t>General Surgery</t>
  </si>
  <si>
    <t>Genetics-Peds.</t>
  </si>
  <si>
    <t>Geriatrics-Med.</t>
  </si>
  <si>
    <t>Hematology/Oncology-Med.</t>
  </si>
  <si>
    <t>Hematology/Oncology-Peds.</t>
  </si>
  <si>
    <t>Hospital Medicine</t>
  </si>
  <si>
    <t>Hospital Medicine-Peds.</t>
  </si>
  <si>
    <t>Infectious Disease-Med.</t>
  </si>
  <si>
    <t>Infectious Disease-Peds.</t>
  </si>
  <si>
    <t>Neonatology</t>
  </si>
  <si>
    <t>Nephrology-Med.</t>
  </si>
  <si>
    <t>Nephrology-Peds.</t>
  </si>
  <si>
    <t>Neurology-Peds.</t>
  </si>
  <si>
    <t>OB/GYN: General</t>
  </si>
  <si>
    <t>OB/GYN: Gynecologic Oncology</t>
  </si>
  <si>
    <t>OB/GYN: Maternal &amp; Fetal</t>
  </si>
  <si>
    <t>OB/GYN: Other OB/GYN</t>
  </si>
  <si>
    <t>Orthopedic Surgery: Other</t>
  </si>
  <si>
    <t>Orthopedic Surgery: Total</t>
  </si>
  <si>
    <t>Other Medicine</t>
  </si>
  <si>
    <t>Other Pediatrics</t>
  </si>
  <si>
    <t>Other Radiology</t>
  </si>
  <si>
    <t>Other Surgery</t>
  </si>
  <si>
    <t>Otolaryngology</t>
  </si>
  <si>
    <t>Pathology: Other Pathology</t>
  </si>
  <si>
    <t>Pediatric Cardiology</t>
  </si>
  <si>
    <t>Pediatric Surgery</t>
  </si>
  <si>
    <t>Physical Medicine &amp; Rehabilitation</t>
  </si>
  <si>
    <t>Plastic Surgery</t>
  </si>
  <si>
    <t>Preventive Medicine</t>
  </si>
  <si>
    <t>Psychiatry: Child &amp; Adolescent</t>
  </si>
  <si>
    <t>Psychiatry: Other</t>
  </si>
  <si>
    <t>Psychiatry: Psychology</t>
  </si>
  <si>
    <t>Psychology-Peds.</t>
  </si>
  <si>
    <t>Pulmonary-Med.</t>
  </si>
  <si>
    <t>Pulmonary-Peds.</t>
  </si>
  <si>
    <t>Rheumatology-Med.</t>
  </si>
  <si>
    <t>Rheumatology-Peds.</t>
  </si>
  <si>
    <t>Thoracic &amp; Cardiovascular Surgery</t>
  </si>
  <si>
    <t>Total Anesthesiology</t>
  </si>
  <si>
    <t>Total Dermatology</t>
  </si>
  <si>
    <t>Total Family Medicine</t>
  </si>
  <si>
    <t>Total Medicine</t>
  </si>
  <si>
    <t>Total OB/GYN</t>
  </si>
  <si>
    <t>Total Pathology</t>
  </si>
  <si>
    <t>Total Pediatrics</t>
  </si>
  <si>
    <t>Total Psychiatry</t>
  </si>
  <si>
    <t>Total Radiology</t>
  </si>
  <si>
    <t>Total Surgery</t>
  </si>
  <si>
    <t>Transplant Surgery</t>
  </si>
  <si>
    <t>Trauma/Critical Care Surgery</t>
  </si>
  <si>
    <t>Vascular Surgery</t>
  </si>
  <si>
    <t>&lt;Select AAMC Specialty&gt;</t>
  </si>
  <si>
    <t>Fiscal Year</t>
  </si>
  <si>
    <t>School Subset</t>
  </si>
  <si>
    <t>Degree Code</t>
  </si>
  <si>
    <t>Degree</t>
  </si>
  <si>
    <t>Dept. Code</t>
  </si>
  <si>
    <t>Department/Specialty</t>
  </si>
  <si>
    <t>Rank Code</t>
  </si>
  <si>
    <t>Compensation Arrangement</t>
  </si>
  <si>
    <t>Count</t>
  </si>
  <si>
    <t>25th</t>
  </si>
  <si>
    <t>Median</t>
  </si>
  <si>
    <t>75th</t>
  </si>
  <si>
    <t>2020 - 2021</t>
  </si>
  <si>
    <t>All Schools</t>
  </si>
  <si>
    <t>MD or Equivalent Degree</t>
  </si>
  <si>
    <t>Total Compensation -- all faculty</t>
  </si>
  <si>
    <t>Median ASA:</t>
  </si>
  <si>
    <t xml:space="preserve">Academic Compensation  </t>
  </si>
  <si>
    <t>2022 REPORT BASED ON 2021 DATA</t>
  </si>
  <si>
    <t xml:space="preserve">ASA Units </t>
  </si>
  <si>
    <t>©2022 MGMA. All Rights Reserved. Data extracted from MGMA DataDive.</t>
  </si>
  <si>
    <t/>
  </si>
  <si>
    <t>All Practice Types</t>
  </si>
  <si>
    <t>Group Count</t>
  </si>
  <si>
    <t>Std Dev</t>
  </si>
  <si>
    <t>10th %tile</t>
  </si>
  <si>
    <t>25th %tile</t>
  </si>
  <si>
    <t>75th %tile</t>
  </si>
  <si>
    <t>90th %tile</t>
  </si>
  <si>
    <t>Certified Registered Nurse Anesthetist</t>
  </si>
  <si>
    <t>Moving Expense</t>
  </si>
  <si>
    <t>Office Expenses</t>
  </si>
  <si>
    <t>Other Expenses</t>
  </si>
  <si>
    <t>Input total clinic drug costs for FP based clinic - Input NEW clinics only HERE</t>
  </si>
  <si>
    <t xml:space="preserve">Input moving expenses here. Only will be calculated for Year 1. </t>
  </si>
  <si>
    <t>Input office expenses here.</t>
  </si>
  <si>
    <t>Productivity</t>
  </si>
  <si>
    <t>How many other providers of same/similar specialty can provide the same function?</t>
  </si>
  <si>
    <t>What are their combined annual wRVUs?</t>
  </si>
  <si>
    <t>What is the relevant annual benchmark wRVUs for their cFTE?</t>
  </si>
  <si>
    <t xml:space="preserve">If actual &lt; benchmark, please explain why additional provider is needed. </t>
  </si>
  <si>
    <t>Operational Expenses</t>
  </si>
  <si>
    <t>Will this addition require new clinical staff? (If proforma is required for your submission, please include these expenses if cost will be on FP books)</t>
  </si>
  <si>
    <t>Will this addition require new administrative/finance staff? (If proforma is required for your submission, please include these expenses)</t>
  </si>
  <si>
    <t>Please detail any other net overhead expenses that would be incurred. (If proforma is required for your submission, please include these expenses)</t>
  </si>
  <si>
    <t>Do you have funds for any offset of ramp-up or net new expenses?</t>
  </si>
  <si>
    <t>Could this hire be postponed until FY24?  What would be the consequence?</t>
  </si>
  <si>
    <t>Position Budgeted in FY23?</t>
  </si>
  <si>
    <t>Where will this physician perform services? Will this addition require new or added cost for space or equipment? (if proforma is required for your submission, please include these expenses)</t>
  </si>
  <si>
    <t>Year 1</t>
  </si>
  <si>
    <t>Year 2</t>
  </si>
  <si>
    <t>Year 3</t>
  </si>
  <si>
    <t>Instructions:</t>
  </si>
  <si>
    <t>If this is a new position, what is your anticipated ramp up over the next three years in this specialty?</t>
  </si>
  <si>
    <t>Percent of median productivity expected to be produced by year</t>
  </si>
  <si>
    <t>Is this a replacement or incremental new position request? If a replacement, who and when did the original position depart?</t>
  </si>
  <si>
    <t>Business Case Questions</t>
  </si>
  <si>
    <t>Please complete this questionnaire for replacement or incremental new provider positions. If new provider position, the proforma tab will also be required to be completed. Once proforma is complete route to your FP Finance point of contact for review.</t>
  </si>
  <si>
    <t>Please provide a BRIEF justification for the position (business case):</t>
  </si>
  <si>
    <r>
      <t xml:space="preserve">How many scheduled weeks out is this specialty (i.e. what is the backlog of this specialty)?  
</t>
    </r>
    <r>
      <rPr>
        <i/>
        <sz val="9"/>
        <rFont val="Arial"/>
        <family val="2"/>
      </rPr>
      <t>[Time to Third or other relevant access measures]</t>
    </r>
  </si>
  <si>
    <r>
      <t xml:space="preserve">Do you anticipate there incremental volumes that will impact the hospital? If you could estimate how many and what type of cases/procedures do you anticipate? 
</t>
    </r>
    <r>
      <rPr>
        <i/>
        <sz val="9"/>
        <rFont val="Arial"/>
        <family val="2"/>
      </rPr>
      <t>[FP Finance to route to Hospital Finance after FP Finance review]</t>
    </r>
  </si>
  <si>
    <t>If this is a replacement position, how long will it take to achieve the previous provider's volume?</t>
  </si>
  <si>
    <t>APP wRVUs (fully ramped up)</t>
  </si>
  <si>
    <t>APP Total Salary</t>
  </si>
  <si>
    <t>APP Benefit Expense on Total Salary</t>
  </si>
  <si>
    <t>APP Comp Reimbursement from UNCH</t>
  </si>
  <si>
    <t>APP UNCH time reimbursed</t>
  </si>
  <si>
    <t>APP Benefits will autocalculate based on total salary</t>
  </si>
  <si>
    <t>Expected percentage of time APP will work in hospital-based setting (per TimeTrex):should match %age reflected for Part A work in APP application</t>
  </si>
  <si>
    <t>Other miscellaneous expenses (ie. Miscellaneous supplies, travel, other clinic expenses, etc)</t>
  </si>
  <si>
    <t>&lt;Select Track&gt;</t>
  </si>
  <si>
    <t>&lt;Select Term&gt;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</si>
</sst>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5" formatCode="&quot;$&quot;#,##0_);\(&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
    <numFmt numFmtId="168" formatCode="0;[Red]0"/>
    <numFmt numFmtId="169" formatCode="yyyy"/>
    <numFmt numFmtId="170" formatCode="0.000_)"/>
    <numFmt numFmtId="171" formatCode="_ * #,##0.00_)&quot;£&quot;_ ;_ * \(#,##0.00\)&quot;£&quot;_ ;_ * &quot;-&quot;??_)&quot;£&quot;_ ;_ @_ "/>
    <numFmt numFmtId="172" formatCode="#,##0\ &quot;F&quot;;\-#,##0\ &quot;F&quot;"/>
    <numFmt numFmtId="173" formatCode="_ * #,##0_)_£_ ;_ * \(#,##0\)_£_ ;_ * &quot;-&quot;_)_£_ ;_ @_ "/>
    <numFmt numFmtId="174" formatCode="_ * #,##0.00_)_£_ ;_ * \(#,##0.00\)_£_ ;_ * &quot;-&quot;??_)_£_ ;_ @_ "/>
    <numFmt numFmtId="175" formatCode="#,##0.00&quot;£&quot;_);\(#,##0.00&quot;£&quot;\)"/>
    <numFmt numFmtId="176" formatCode="_ * #,##0_)&quot;£&quot;_ ;_ * \(#,##0\)&quot;£&quot;_ ;_ * &quot;-&quot;_)&quot;£&quot;_ ;_ @_ "/>
    <numFmt numFmtId="177" formatCode="0.0000####"/>
    <numFmt numFmtId="178" formatCode="#,##0.000"/>
    <numFmt numFmtId="179" formatCode="#,##0.0000"/>
    <numFmt numFmtId="180" formatCode="_(* #,##0_);_(* \(#,##0\);_(* &quot;-&quot;??_);_(@_)"/>
    <numFmt numFmtId="181" formatCode="_(* #,##0.00000_);_(* \(#,##0.00000\);_(* &quot;-&quot;_);_(@_)"/>
    <numFmt numFmtId="182" formatCode="_(* #,##0.00_);_(* \(#,##0.00\);_(* &quot;-&quot;_);_(@_)"/>
  </numFmts>
  <fonts count="10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MS Sans Serif"/>
      <family val="2"/>
    </font>
    <font>
      <b/>
      <i/>
      <sz val="10"/>
      <name val="Arial"/>
      <family val="2"/>
    </font>
    <font>
      <b/>
      <sz val="10"/>
      <color indexed="8"/>
      <name val="Arial"/>
      <family val="2"/>
    </font>
    <font>
      <u/>
      <sz val="10"/>
      <name val="Arial"/>
      <family val="2"/>
    </font>
    <font>
      <i/>
      <sz val="10"/>
      <name val="Arial"/>
      <family val="2"/>
    </font>
    <font>
      <b/>
      <u/>
      <sz val="10"/>
      <name val="Arial"/>
      <family val="2"/>
    </font>
    <font>
      <b/>
      <i/>
      <sz val="12"/>
      <name val="Arial"/>
      <family val="2"/>
    </font>
    <font>
      <b/>
      <sz val="12"/>
      <color indexed="10"/>
      <name val="Arial"/>
      <family val="2"/>
    </font>
    <font>
      <b/>
      <sz val="16"/>
      <color indexed="56"/>
      <name val="Arial"/>
      <family val="2"/>
    </font>
    <font>
      <b/>
      <i/>
      <sz val="12"/>
      <color indexed="10"/>
      <name val="Arial"/>
      <family val="2"/>
    </font>
    <font>
      <sz val="10"/>
      <name val="Arial"/>
      <family val="2"/>
    </font>
    <font>
      <sz val="10"/>
      <name val="Arial"/>
      <family val="2"/>
    </font>
    <font>
      <b/>
      <sz val="11"/>
      <color theme="1"/>
      <name val="Calibri"/>
      <family val="2"/>
      <scheme val="minor"/>
    </font>
    <font>
      <sz val="10"/>
      <color indexed="8"/>
      <name val="Arial"/>
      <family val="2"/>
    </font>
    <font>
      <sz val="10"/>
      <name val="Arial"/>
      <family val="2"/>
    </font>
    <font>
      <b/>
      <sz val="10"/>
      <color rgb="FF4C4C4C"/>
      <name val="'segoe ui'"/>
      <family val="2"/>
    </font>
    <font>
      <sz val="10"/>
      <color rgb="FF4C4C4C"/>
      <name val="'segoe u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b/>
      <sz val="11"/>
      <color rgb="FFFA7D00"/>
      <name val="Calibri"/>
      <family val="2"/>
      <scheme val="minor"/>
    </font>
    <font>
      <sz val="11"/>
      <color theme="0"/>
      <name val="Calibri"/>
      <family val="2"/>
      <scheme val="minor"/>
    </font>
    <font>
      <sz val="11"/>
      <color indexed="8"/>
      <name val="Calibri"/>
      <family val="2"/>
    </font>
    <font>
      <b/>
      <sz val="11"/>
      <color indexed="8"/>
      <name val="Calibri"/>
      <family val="2"/>
    </font>
    <font>
      <sz val="12"/>
      <color theme="1"/>
      <name val="Calibri"/>
      <family val="2"/>
      <scheme val="minor"/>
    </font>
    <font>
      <sz val="12"/>
      <color indexed="12"/>
      <name val="Arial"/>
      <family val="2"/>
    </font>
    <font>
      <sz val="9"/>
      <color indexed="8"/>
      <name val="Arial"/>
      <family val="2"/>
    </font>
    <font>
      <b/>
      <sz val="10"/>
      <color indexed="12"/>
      <name val="Arial"/>
      <family val="2"/>
    </font>
    <font>
      <sz val="1"/>
      <color indexed="8"/>
      <name val="Courier"/>
      <family val="3"/>
    </font>
    <font>
      <i/>
      <sz val="1"/>
      <color indexed="8"/>
      <name val="Courier"/>
      <family val="3"/>
    </font>
    <font>
      <b/>
      <sz val="10"/>
      <color indexed="10"/>
      <name val="Wingdings"/>
      <charset val="2"/>
    </font>
    <font>
      <b/>
      <sz val="1"/>
      <color indexed="8"/>
      <name val="Courier"/>
      <family val="3"/>
    </font>
    <font>
      <u/>
      <sz val="10"/>
      <color indexed="12"/>
      <name val="Arial"/>
      <family val="2"/>
    </font>
    <font>
      <sz val="10"/>
      <name val="Times New Roman"/>
      <family val="1"/>
    </font>
    <font>
      <sz val="10"/>
      <color indexed="12"/>
      <name val="Arial"/>
      <family val="2"/>
    </font>
    <font>
      <sz val="10"/>
      <color indexed="18"/>
      <name val="Arial"/>
      <family val="2"/>
    </font>
    <font>
      <sz val="8"/>
      <name val="Arial"/>
      <family val="2"/>
    </font>
    <font>
      <sz val="12"/>
      <name val="Helv"/>
    </font>
    <font>
      <i/>
      <sz val="10"/>
      <color indexed="10"/>
      <name val="Arial"/>
      <family val="2"/>
    </font>
    <font>
      <sz val="11"/>
      <color indexed="8"/>
      <name val="Times New Roman"/>
      <family val="1"/>
    </font>
    <font>
      <b/>
      <i/>
      <sz val="10"/>
      <color indexed="8"/>
      <name val="Arial"/>
      <family val="2"/>
    </font>
    <font>
      <b/>
      <sz val="11"/>
      <color indexed="16"/>
      <name val="Times New Roman"/>
      <family val="1"/>
    </font>
    <font>
      <b/>
      <sz val="22"/>
      <color indexed="8"/>
      <name val="Times New Roman"/>
      <family val="1"/>
    </font>
    <font>
      <b/>
      <sz val="10"/>
      <name val="MS Sans Serif"/>
      <family val="2"/>
    </font>
    <font>
      <b/>
      <sz val="8"/>
      <name val="Arial"/>
      <family val="2"/>
    </font>
    <font>
      <sz val="11"/>
      <name val="Tms Rmn"/>
      <family val="1"/>
    </font>
    <font>
      <b/>
      <sz val="12"/>
      <name val="Arial"/>
      <family val="2"/>
    </font>
    <font>
      <sz val="7"/>
      <name val="Small Fonts"/>
      <family val="2"/>
    </font>
    <font>
      <sz val="12"/>
      <name val="Arial"/>
      <family val="2"/>
    </font>
    <font>
      <sz val="11"/>
      <color indexed="9"/>
      <name val="Calibri"/>
      <family val="2"/>
    </font>
    <font>
      <sz val="11"/>
      <color indexed="20"/>
      <name val="Calibri"/>
      <family val="2"/>
    </font>
    <font>
      <b/>
      <sz val="11"/>
      <color indexed="10"/>
      <name val="Calibri"/>
      <family val="2"/>
    </font>
    <font>
      <b/>
      <sz val="11"/>
      <name val="Arial"/>
      <family val="2"/>
    </font>
    <font>
      <b/>
      <sz val="11"/>
      <color indexed="9"/>
      <name val="Calibri"/>
      <family val="2"/>
    </font>
    <font>
      <b/>
      <sz val="14"/>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10"/>
      <color rgb="FF000000"/>
      <name val="Arial"/>
      <family val="2"/>
    </font>
    <font>
      <b/>
      <sz val="11"/>
      <color indexed="63"/>
      <name val="Calibri"/>
      <family val="2"/>
    </font>
    <font>
      <b/>
      <sz val="14"/>
      <color indexed="63"/>
      <name val="Arial"/>
      <family val="2"/>
    </font>
    <font>
      <b/>
      <sz val="8"/>
      <color indexed="63"/>
      <name val="Arial"/>
      <family val="2"/>
    </font>
    <font>
      <b/>
      <sz val="18"/>
      <color indexed="62"/>
      <name val="Cambria"/>
      <family val="2"/>
    </font>
    <font>
      <sz val="12"/>
      <color theme="1"/>
      <name val="Calibri"/>
      <family val="2"/>
      <charset val="128"/>
      <scheme val="minor"/>
    </font>
    <font>
      <sz val="10"/>
      <name val="Arial"/>
      <family val="2"/>
    </font>
    <font>
      <b/>
      <sz val="10"/>
      <color theme="1"/>
      <name val="Calibri"/>
      <family val="2"/>
      <scheme val="minor"/>
    </font>
    <font>
      <sz val="11"/>
      <color rgb="FF000000"/>
      <name val="Arial"/>
      <family val="2"/>
    </font>
    <font>
      <b/>
      <sz val="11"/>
      <color rgb="FF00B050"/>
      <name val="Arial"/>
      <family val="2"/>
    </font>
    <font>
      <strike/>
      <sz val="11"/>
      <color rgb="FF000000"/>
      <name val="Arial"/>
      <family val="2"/>
    </font>
    <font>
      <b/>
      <sz val="11"/>
      <color rgb="FFFF0000"/>
      <name val="Arial"/>
      <family val="2"/>
    </font>
    <font>
      <b/>
      <sz val="11"/>
      <color rgb="FF00B0F0"/>
      <name val="Arial"/>
      <family val="2"/>
    </font>
    <font>
      <b/>
      <sz val="14"/>
      <color rgb="FFFF0000"/>
      <name val="Calibri"/>
      <family val="2"/>
      <scheme val="minor"/>
    </font>
    <font>
      <sz val="10"/>
      <color theme="1"/>
      <name val="Calibri"/>
      <family val="2"/>
      <scheme val="minor"/>
    </font>
    <font>
      <sz val="10"/>
      <name val="Calibri"/>
      <family val="2"/>
      <scheme val="minor"/>
    </font>
    <font>
      <sz val="10"/>
      <color rgb="FFFF0000"/>
      <name val="Calibri"/>
      <family val="2"/>
      <scheme val="minor"/>
    </font>
    <font>
      <sz val="9"/>
      <color indexed="81"/>
      <name val="Tahoma"/>
      <family val="2"/>
    </font>
    <font>
      <b/>
      <sz val="9"/>
      <color indexed="81"/>
      <name val="Tahoma"/>
      <family val="2"/>
    </font>
    <font>
      <b/>
      <sz val="12"/>
      <color rgb="FFFF0000"/>
      <name val="Arial"/>
      <family val="2"/>
    </font>
    <font>
      <b/>
      <sz val="12"/>
      <color theme="4" tint="-0.249977111117893"/>
      <name val="Arial"/>
      <family val="2"/>
    </font>
    <font>
      <b/>
      <u/>
      <sz val="9"/>
      <name val="Arial"/>
      <family val="2"/>
    </font>
    <font>
      <i/>
      <sz val="8"/>
      <name val="Arial"/>
      <family val="2"/>
    </font>
    <font>
      <sz val="20"/>
      <color theme="1"/>
      <name val="Calibri"/>
      <family val="2"/>
      <scheme val="minor"/>
    </font>
    <font>
      <b/>
      <sz val="10"/>
      <color rgb="FF000000"/>
      <name val="Arial"/>
      <family val="2"/>
    </font>
    <font>
      <i/>
      <sz val="9"/>
      <name val="Arial"/>
      <family val="2"/>
    </font>
  </fonts>
  <fills count="6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43"/>
        <bgColor indexed="15"/>
      </patternFill>
    </fill>
    <fill>
      <patternFill patternType="solid">
        <fgColor indexed="65"/>
        <bgColor indexed="10"/>
      </patternFill>
    </fill>
    <fill>
      <patternFill patternType="gray125">
        <fgColor indexed="10"/>
      </patternFill>
    </fill>
    <fill>
      <patternFill patternType="solid">
        <fgColor indexed="22"/>
        <bgColor indexed="64"/>
      </patternFill>
    </fill>
    <fill>
      <patternFill patternType="solid">
        <fgColor indexed="42"/>
        <bgColor indexed="64"/>
      </patternFill>
    </fill>
    <fill>
      <patternFill patternType="solid">
        <fgColor indexed="9"/>
      </patternFill>
    </fill>
    <fill>
      <patternFill patternType="solid">
        <fgColor indexed="26"/>
        <bgColor indexed="64"/>
      </patternFill>
    </fill>
    <fill>
      <patternFill patternType="mediumGray">
        <fgColor indexed="22"/>
      </patternFill>
    </fill>
    <fill>
      <patternFill patternType="solid">
        <fgColor indexed="27"/>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55"/>
      </patternFill>
    </fill>
    <fill>
      <patternFill patternType="solid">
        <fgColor indexed="6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CED0D5"/>
        <bgColor indexed="64"/>
      </patternFill>
    </fill>
    <fill>
      <patternFill patternType="solid">
        <fgColor rgb="FFE8E9EB"/>
        <bgColor indexed="64"/>
      </patternFill>
    </fill>
    <fill>
      <patternFill patternType="solid">
        <fgColor them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bgColor indexed="64"/>
      </patternFill>
    </fill>
    <fill>
      <patternFill patternType="solid">
        <fgColor rgb="FFFFFFFF"/>
        <bgColor indexed="64"/>
      </patternFill>
    </fill>
  </fills>
  <borders count="68">
    <border>
      <left/>
      <right/>
      <top/>
      <bottom/>
      <diagonal/>
    </border>
    <border>
      <left style="thin">
        <color indexed="10"/>
      </left>
      <right style="thin">
        <color indexed="10"/>
      </right>
      <top style="thin">
        <color indexed="10"/>
      </top>
      <bottom style="thin">
        <color indexed="10"/>
      </bottom>
      <diagonal/>
    </border>
    <border>
      <left/>
      <right/>
      <top/>
      <bottom style="double">
        <color indexed="64"/>
      </bottom>
      <diagonal/>
    </border>
    <border>
      <left/>
      <right/>
      <top/>
      <bottom style="thin">
        <color indexed="64"/>
      </bottom>
      <diagonal/>
    </border>
    <border>
      <left style="thin">
        <color indexed="56"/>
      </left>
      <right/>
      <top style="thin">
        <color indexed="64"/>
      </top>
      <bottom style="thin">
        <color indexed="64"/>
      </bottom>
      <diagonal/>
    </border>
    <border>
      <left style="thin">
        <color indexed="56"/>
      </left>
      <right/>
      <top style="thin">
        <color indexed="56"/>
      </top>
      <bottom style="thin">
        <color indexed="56"/>
      </bottom>
      <diagonal/>
    </border>
    <border>
      <left/>
      <right/>
      <top style="thin">
        <color indexed="56"/>
      </top>
      <bottom style="thin">
        <color indexed="56"/>
      </bottom>
      <diagonal/>
    </border>
    <border>
      <left/>
      <right style="thin">
        <color indexed="56"/>
      </right>
      <top style="thin">
        <color indexed="56"/>
      </top>
      <bottom style="thin">
        <color indexed="56"/>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theme="4" tint="0.399975585192419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auto="1"/>
      </top>
      <bottom style="thin">
        <color auto="1"/>
      </bottom>
      <diagonal/>
    </border>
    <border>
      <left/>
      <right/>
      <top style="thin">
        <color indexed="56"/>
      </top>
      <bottom style="thin">
        <color indexed="56"/>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right/>
      <top style="medium">
        <color auto="1"/>
      </top>
      <bottom/>
      <diagonal/>
    </border>
    <border>
      <left style="thin">
        <color indexed="64"/>
      </left>
      <right style="thin">
        <color indexed="64"/>
      </right>
      <top style="medium">
        <color indexed="64"/>
      </top>
      <bottom style="thin">
        <color indexed="64"/>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theme="0" tint="-0.34998626667073579"/>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889">
    <xf numFmtId="0" fontId="0" fillId="0" borderId="0"/>
    <xf numFmtId="8" fontId="14" fillId="0" borderId="0" applyFont="0" applyFill="0" applyBorder="0" applyAlignment="0" applyProtection="0"/>
    <xf numFmtId="0" fontId="14" fillId="0" borderId="0"/>
    <xf numFmtId="9" fontId="25" fillId="0" borderId="0" applyFont="0" applyFill="0" applyBorder="0" applyAlignment="0" applyProtection="0"/>
    <xf numFmtId="0" fontId="13" fillId="0" borderId="0"/>
    <xf numFmtId="9" fontId="13" fillId="0" borderId="0" applyFont="0" applyFill="0" applyBorder="0" applyAlignment="0" applyProtection="0"/>
    <xf numFmtId="44" fontId="15" fillId="0" borderId="0" applyFont="0" applyFill="0" applyBorder="0" applyAlignment="0" applyProtection="0"/>
    <xf numFmtId="0" fontId="13" fillId="0" borderId="0"/>
    <xf numFmtId="0" fontId="11" fillId="0" borderId="0"/>
    <xf numFmtId="9" fontId="11"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3"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0" fillId="0" borderId="0"/>
    <xf numFmtId="9" fontId="10" fillId="0" borderId="0" applyFont="0" applyFill="0" applyBorder="0" applyAlignment="0" applyProtection="0"/>
    <xf numFmtId="0" fontId="9" fillId="0" borderId="0"/>
    <xf numFmtId="9" fontId="9" fillId="0" borderId="0" applyFont="0" applyFill="0" applyBorder="0" applyAlignment="0" applyProtection="0"/>
    <xf numFmtId="0" fontId="8" fillId="0" borderId="0"/>
    <xf numFmtId="9" fontId="8"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44" fontId="28"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13"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4" fillId="0" borderId="0"/>
    <xf numFmtId="0" fontId="40" fillId="0" borderId="0"/>
    <xf numFmtId="0" fontId="5" fillId="0" borderId="0"/>
    <xf numFmtId="41" fontId="13" fillId="0" borderId="0"/>
    <xf numFmtId="41" fontId="13" fillId="0" borderId="0"/>
    <xf numFmtId="41" fontId="13" fillId="0" borderId="0"/>
    <xf numFmtId="37" fontId="41" fillId="25" borderId="0" applyNumberFormat="0">
      <protection locked="0"/>
    </xf>
    <xf numFmtId="3" fontId="13" fillId="0" borderId="0"/>
    <xf numFmtId="3" fontId="13" fillId="0" borderId="0"/>
    <xf numFmtId="3"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 fontId="27" fillId="0" borderId="0"/>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37" fontId="13" fillId="0" borderId="0" applyBorder="0">
      <alignment horizontal="left" vertical="top"/>
      <protection locked="0"/>
    </xf>
    <xf numFmtId="0" fontId="42" fillId="26" borderId="13" applyAlignment="0">
      <alignment horizontal="right"/>
      <protection locked="0"/>
    </xf>
    <xf numFmtId="0" fontId="43" fillId="27" borderId="0">
      <alignment horizontal="right"/>
      <protection locked="0"/>
    </xf>
    <xf numFmtId="0" fontId="44" fillId="0" borderId="0">
      <protection locked="0"/>
    </xf>
    <xf numFmtId="0" fontId="44" fillId="0" borderId="0">
      <protection locked="0"/>
    </xf>
    <xf numFmtId="0" fontId="44" fillId="0" borderId="0">
      <protection locked="0"/>
    </xf>
    <xf numFmtId="0" fontId="45" fillId="0" borderId="0">
      <protection locked="0"/>
    </xf>
    <xf numFmtId="0" fontId="44" fillId="0" borderId="0">
      <protection locked="0"/>
    </xf>
    <xf numFmtId="0" fontId="44" fillId="0" borderId="0">
      <protection locked="0"/>
    </xf>
    <xf numFmtId="0" fontId="44" fillId="0" borderId="0">
      <protection locked="0"/>
    </xf>
    <xf numFmtId="0" fontId="45" fillId="0" borderId="0">
      <protection locked="0"/>
    </xf>
    <xf numFmtId="2" fontId="43" fillId="27" borderId="0">
      <alignment horizontal="right"/>
      <protection locked="0"/>
    </xf>
    <xf numFmtId="167" fontId="44" fillId="0" borderId="0">
      <protection locked="0"/>
    </xf>
    <xf numFmtId="168" fontId="46" fillId="0" borderId="0" applyBorder="0">
      <alignment horizontal="left" vertical="top"/>
    </xf>
    <xf numFmtId="0" fontId="47" fillId="0" borderId="0">
      <protection locked="0"/>
    </xf>
    <xf numFmtId="0" fontId="47" fillId="0" borderId="0">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40" fontId="49" fillId="24" borderId="33">
      <protection locked="0"/>
    </xf>
    <xf numFmtId="3" fontId="50" fillId="28" borderId="0">
      <protection locked="0"/>
    </xf>
    <xf numFmtId="4" fontId="50" fillId="28" borderId="0">
      <protection locked="0"/>
    </xf>
    <xf numFmtId="41" fontId="51" fillId="29" borderId="0" applyNumberFormat="0" applyBorder="0">
      <alignment horizontal="center" vertical="top"/>
    </xf>
    <xf numFmtId="0" fontId="16" fillId="30" borderId="0">
      <alignment horizontal="left"/>
    </xf>
    <xf numFmtId="0" fontId="52" fillId="28" borderId="0"/>
    <xf numFmtId="0" fontId="52" fillId="28" borderId="0"/>
    <xf numFmtId="0" fontId="52" fillId="28" borderId="0"/>
    <xf numFmtId="43" fontId="13" fillId="0" borderId="0"/>
    <xf numFmtId="0" fontId="53" fillId="0" borderId="0"/>
    <xf numFmtId="0" fontId="53" fillId="0" borderId="0"/>
    <xf numFmtId="0" fontId="53" fillId="0" borderId="0"/>
    <xf numFmtId="0" fontId="53" fillId="0" borderId="0"/>
    <xf numFmtId="0" fontId="53" fillId="0" borderId="0"/>
    <xf numFmtId="0" fontId="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8" fillId="0" borderId="0"/>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14"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64" fontId="54" fillId="0" borderId="0" applyNumberFormat="0"/>
    <xf numFmtId="40" fontId="55" fillId="2" borderId="0" applyBorder="0">
      <alignment horizontal="right"/>
    </xf>
    <xf numFmtId="20" fontId="56" fillId="2" borderId="0" applyBorder="0">
      <alignment horizontal="center"/>
    </xf>
    <xf numFmtId="0" fontId="57" fillId="2" borderId="31" applyBorder="0"/>
    <xf numFmtId="0" fontId="57" fillId="0" borderId="0" applyBorder="0">
      <alignment horizontal="centerContinuous"/>
    </xf>
    <xf numFmtId="0" fontId="58" fillId="0" borderId="0" applyBorder="0">
      <alignment horizontal="centerContinuous"/>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41" fontId="50" fillId="31" borderId="0" applyNumberFormat="0" applyBorder="0">
      <alignment horizontal="center"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applyNumberFormat="0" applyFont="0" applyFill="0" applyBorder="0" applyAlignment="0" applyProtection="0">
      <alignment horizontal="left"/>
    </xf>
    <xf numFmtId="0" fontId="14" fillId="0" borderId="0" applyNumberFormat="0" applyFont="0" applyFill="0" applyBorder="0" applyAlignment="0" applyProtection="0">
      <alignment horizontal="left"/>
    </xf>
    <xf numFmtId="0" fontId="14" fillId="0" borderId="0" applyNumberFormat="0" applyFont="0" applyFill="0" applyBorder="0" applyAlignment="0" applyProtection="0">
      <alignment horizontal="left"/>
    </xf>
    <xf numFmtId="0" fontId="14" fillId="0" borderId="0" applyNumberFormat="0" applyFont="0" applyFill="0" applyBorder="0" applyAlignment="0" applyProtection="0">
      <alignment horizontal="left"/>
    </xf>
    <xf numFmtId="0" fontId="14" fillId="0" borderId="0" applyNumberFormat="0" applyFont="0" applyFill="0" applyBorder="0" applyAlignment="0" applyProtection="0">
      <alignment horizontal="left"/>
    </xf>
    <xf numFmtId="0" fontId="14" fillId="0" borderId="0" applyNumberFormat="0" applyFont="0" applyFill="0" applyBorder="0" applyAlignment="0" applyProtection="0">
      <alignment horizontal="left"/>
    </xf>
    <xf numFmtId="0" fontId="14" fillId="0" borderId="0" applyNumberFormat="0" applyFont="0" applyFill="0" applyBorder="0" applyAlignment="0" applyProtection="0">
      <alignment horizontal="left"/>
    </xf>
    <xf numFmtId="0" fontId="14" fillId="0" borderId="0" applyNumberFormat="0" applyFont="0" applyFill="0" applyBorder="0" applyAlignment="0" applyProtection="0">
      <alignment horizontal="left"/>
    </xf>
    <xf numFmtId="0" fontId="14" fillId="0" borderId="0" applyNumberFormat="0" applyFont="0" applyFill="0" applyBorder="0" applyAlignment="0" applyProtection="0">
      <alignment horizontal="left"/>
    </xf>
    <xf numFmtId="0" fontId="14" fillId="0" borderId="0" applyNumberFormat="0" applyFont="0" applyFill="0" applyBorder="0" applyAlignment="0" applyProtection="0">
      <alignment horizontal="left"/>
    </xf>
    <xf numFmtId="0" fontId="14" fillId="0" borderId="0" applyNumberFormat="0" applyFont="0" applyFill="0" applyBorder="0" applyAlignment="0" applyProtection="0">
      <alignment horizontal="left"/>
    </xf>
    <xf numFmtId="15" fontId="14" fillId="0" borderId="0" applyFont="0" applyFill="0" applyBorder="0" applyAlignment="0" applyProtection="0"/>
    <xf numFmtId="4" fontId="14" fillId="0" borderId="0" applyFont="0" applyFill="0" applyBorder="0" applyAlignment="0" applyProtection="0"/>
    <xf numFmtId="0" fontId="59" fillId="0" borderId="19">
      <alignment horizontal="center"/>
    </xf>
    <xf numFmtId="0" fontId="59" fillId="0" borderId="19">
      <alignment horizontal="center"/>
    </xf>
    <xf numFmtId="0" fontId="59" fillId="0" borderId="19">
      <alignment horizontal="center"/>
    </xf>
    <xf numFmtId="3" fontId="14" fillId="0" borderId="0" applyFont="0" applyFill="0" applyBorder="0" applyAlignment="0" applyProtection="0"/>
    <xf numFmtId="0" fontId="14" fillId="32" borderId="0" applyNumberFormat="0" applyFont="0" applyBorder="0" applyAlignment="0" applyProtection="0"/>
    <xf numFmtId="41" fontId="51" fillId="33" borderId="0" applyNumberFormat="0" applyBorder="0">
      <alignment horizontal="center" vertical="top"/>
    </xf>
    <xf numFmtId="49" fontId="12" fillId="0" borderId="0">
      <alignment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69" fontId="13" fillId="0" borderId="0">
      <alignment horizontal="center" vertical="top"/>
    </xf>
    <xf numFmtId="17" fontId="17" fillId="0" borderId="0" applyBorder="0">
      <alignment horizontal="center" vertical="top"/>
    </xf>
    <xf numFmtId="1" fontId="14" fillId="0" borderId="0"/>
    <xf numFmtId="5" fontId="59" fillId="0" borderId="30" applyAlignment="0" applyProtection="0"/>
    <xf numFmtId="0" fontId="60" fillId="0" borderId="32">
      <alignment horizontal="center"/>
    </xf>
    <xf numFmtId="170" fontId="61" fillId="0" borderId="0"/>
    <xf numFmtId="170" fontId="61" fillId="0" borderId="0"/>
    <xf numFmtId="170" fontId="61" fillId="0" borderId="0"/>
    <xf numFmtId="170" fontId="61" fillId="0" borderId="0"/>
    <xf numFmtId="170" fontId="61" fillId="0" borderId="0"/>
    <xf numFmtId="170" fontId="61" fillId="0" borderId="0"/>
    <xf numFmtId="170" fontId="61" fillId="0" borderId="0"/>
    <xf numFmtId="170" fontId="61" fillId="0" borderId="0"/>
    <xf numFmtId="3" fontId="13" fillId="0" borderId="0" applyFont="0" applyFill="0" applyBorder="0" applyAlignment="0" applyProtection="0"/>
    <xf numFmtId="37" fontId="13" fillId="0" borderId="0" applyBorder="0">
      <alignment horizontal="left" vertical="top"/>
      <protection locked="0"/>
    </xf>
    <xf numFmtId="37" fontId="13" fillId="0" borderId="0" applyBorder="0">
      <alignment horizontal="left" vertical="top"/>
      <protection locked="0"/>
    </xf>
    <xf numFmtId="5" fontId="13" fillId="0" borderId="0" applyFont="0" applyFill="0" applyBorder="0" applyAlignment="0" applyProtection="0"/>
    <xf numFmtId="38" fontId="52" fillId="28" borderId="0" applyNumberFormat="0" applyBorder="0" applyAlignment="0" applyProtection="0"/>
    <xf numFmtId="0" fontId="62" fillId="0" borderId="15" applyNumberFormat="0" applyAlignment="0" applyProtection="0">
      <alignment horizontal="left" vertical="center"/>
    </xf>
    <xf numFmtId="0" fontId="62" fillId="0" borderId="17">
      <alignment horizontal="left" vertical="center"/>
    </xf>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10" fontId="52" fillId="31" borderId="29" applyNumberFormat="0" applyBorder="0" applyAlignment="0" applyProtection="0"/>
    <xf numFmtId="171" fontId="13" fillId="0" borderId="0" applyFont="0" applyFill="0" applyBorder="0" applyAlignment="0" applyProtection="0"/>
    <xf numFmtId="172"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37" fontId="63" fillId="0" borderId="0"/>
    <xf numFmtId="0" fontId="5" fillId="0" borderId="0"/>
    <xf numFmtId="0" fontId="13" fillId="0" borderId="0"/>
    <xf numFmtId="0" fontId="13" fillId="0" borderId="0"/>
    <xf numFmtId="37" fontId="64" fillId="2" borderId="0" applyFill="0"/>
    <xf numFmtId="0" fontId="13" fillId="0" borderId="0"/>
    <xf numFmtId="0" fontId="13"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38" fillId="8" borderId="27" applyNumberFormat="0" applyFont="0" applyAlignment="0" applyProtection="0"/>
    <xf numFmtId="0" fontId="38" fillId="8" borderId="27" applyNumberFormat="0" applyFont="0" applyAlignment="0" applyProtection="0"/>
    <xf numFmtId="0" fontId="38" fillId="8" borderId="27" applyNumberFormat="0" applyFont="0" applyAlignment="0" applyProtection="0"/>
    <xf numFmtId="10" fontId="13" fillId="0" borderId="0" applyFont="0" applyFill="0" applyBorder="0" applyAlignment="0" applyProtection="0"/>
    <xf numFmtId="0" fontId="13" fillId="0" borderId="0"/>
    <xf numFmtId="0" fontId="13" fillId="0" borderId="0"/>
    <xf numFmtId="169" fontId="13" fillId="0" borderId="0">
      <alignment horizontal="center" vertical="top"/>
    </xf>
    <xf numFmtId="169" fontId="13" fillId="0" borderId="0">
      <alignment horizontal="center" vertical="top"/>
    </xf>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38" fontId="14" fillId="0" borderId="0" applyFont="0" applyFill="0" applyBorder="0" applyAlignment="0" applyProtection="0"/>
    <xf numFmtId="40" fontId="14" fillId="0" borderId="0" applyFont="0" applyFill="0" applyBorder="0" applyAlignment="0" applyProtection="0"/>
    <xf numFmtId="175" fontId="13" fillId="0" borderId="0" applyFont="0" applyFill="0" applyBorder="0" applyAlignment="0" applyProtection="0"/>
    <xf numFmtId="176" fontId="13" fillId="0" borderId="0" applyFont="0" applyFill="0" applyBorder="0" applyAlignment="0" applyProtection="0"/>
    <xf numFmtId="1" fontId="14" fillId="0" borderId="0"/>
    <xf numFmtId="1" fontId="14" fillId="0" borderId="0"/>
    <xf numFmtId="1" fontId="14" fillId="0" borderId="0"/>
    <xf numFmtId="1" fontId="14" fillId="0" borderId="0"/>
    <xf numFmtId="1" fontId="14" fillId="0" borderId="0"/>
    <xf numFmtId="1" fontId="14" fillId="0" borderId="0"/>
    <xf numFmtId="1" fontId="14" fillId="0" borderId="0"/>
    <xf numFmtId="1" fontId="14" fillId="0" borderId="0"/>
    <xf numFmtId="1" fontId="14" fillId="0" borderId="0"/>
    <xf numFmtId="1" fontId="14" fillId="0" borderId="0"/>
    <xf numFmtId="1" fontId="14" fillId="0" borderId="0"/>
    <xf numFmtId="1" fontId="14" fillId="0" borderId="0"/>
    <xf numFmtId="0" fontId="5" fillId="10"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5" fillId="12"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5" fillId="13"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5" fillId="1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5" fillId="2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5" fillId="14"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5" fillId="18"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5" fillId="2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7" fillId="11"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37" fillId="15"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37" fillId="19"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37" fillId="21"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37" fillId="23" borderId="0" applyNumberFormat="0" applyBorder="0" applyAlignment="0" applyProtection="0"/>
    <xf numFmtId="0" fontId="65" fillId="35" borderId="0" applyNumberFormat="0" applyBorder="0" applyAlignment="0" applyProtection="0"/>
    <xf numFmtId="0" fontId="65" fillId="35" borderId="0" applyNumberFormat="0" applyBorder="0" applyAlignment="0" applyProtection="0"/>
    <xf numFmtId="0" fontId="65" fillId="35" borderId="0" applyNumberFormat="0" applyBorder="0" applyAlignment="0" applyProtection="0"/>
    <xf numFmtId="0" fontId="65" fillId="35" borderId="0" applyNumberFormat="0" applyBorder="0" applyAlignment="0" applyProtection="0"/>
    <xf numFmtId="0" fontId="37" fillId="9"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37" fillId="16"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36" fillId="7" borderId="25"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8" fillId="0" borderId="0" applyFill="0" applyBorder="0" applyProtection="0">
      <alignment horizontal="center"/>
      <protection locked="0"/>
    </xf>
    <xf numFmtId="0" fontId="69" fillId="48" borderId="35" applyNumberFormat="0" applyAlignment="0" applyProtection="0"/>
    <xf numFmtId="0" fontId="69" fillId="48" borderId="35" applyNumberFormat="0" applyAlignment="0" applyProtection="0"/>
    <xf numFmtId="0" fontId="69" fillId="48" borderId="35" applyNumberFormat="0" applyAlignment="0" applyProtection="0"/>
    <xf numFmtId="0" fontId="69" fillId="48" borderId="35" applyNumberFormat="0" applyAlignment="0" applyProtection="0"/>
    <xf numFmtId="43" fontId="38"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0" fontId="70" fillId="0" borderId="0" applyFill="0" applyBorder="0" applyAlignment="0" applyProtection="0">
      <protection locked="0"/>
    </xf>
    <xf numFmtId="44" fontId="1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44" fillId="0" borderId="0">
      <protection locked="0"/>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167" fontId="44" fillId="0" borderId="0">
      <protection locked="0"/>
    </xf>
    <xf numFmtId="177" fontId="13" fillId="0" borderId="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4" fillId="0" borderId="37" applyNumberFormat="0" applyFill="0" applyAlignment="0" applyProtection="0"/>
    <xf numFmtId="0" fontId="74" fillId="0" borderId="37" applyNumberFormat="0" applyFill="0" applyAlignment="0" applyProtection="0"/>
    <xf numFmtId="0" fontId="74" fillId="0" borderId="37" applyNumberFormat="0" applyFill="0" applyAlignment="0" applyProtection="0"/>
    <xf numFmtId="0" fontId="74" fillId="0" borderId="37" applyNumberFormat="0" applyFill="0" applyAlignment="0" applyProtection="0"/>
    <xf numFmtId="0" fontId="34" fillId="0" borderId="24" applyNumberFormat="0" applyFill="0" applyAlignment="0" applyProtection="0"/>
    <xf numFmtId="0" fontId="75" fillId="0" borderId="38" applyNumberFormat="0" applyFill="0" applyAlignment="0" applyProtection="0"/>
    <xf numFmtId="0" fontId="75" fillId="0" borderId="38" applyNumberFormat="0" applyFill="0" applyAlignment="0" applyProtection="0"/>
    <xf numFmtId="0" fontId="75" fillId="0" borderId="38" applyNumberFormat="0" applyFill="0" applyAlignment="0" applyProtection="0"/>
    <xf numFmtId="0" fontId="75" fillId="0" borderId="38" applyNumberFormat="0" applyFill="0" applyAlignment="0" applyProtection="0"/>
    <xf numFmtId="0" fontId="3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68" fillId="0" borderId="0" applyFill="0" applyAlignment="0" applyProtection="0">
      <protection locked="0"/>
    </xf>
    <xf numFmtId="0" fontId="68" fillId="0" borderId="13" applyFill="0" applyAlignment="0" applyProtection="0">
      <protection locked="0"/>
    </xf>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7" fillId="0" borderId="39" applyNumberFormat="0" applyFill="0" applyAlignment="0" applyProtection="0"/>
    <xf numFmtId="0" fontId="77" fillId="0" borderId="39" applyNumberFormat="0" applyFill="0" applyAlignment="0" applyProtection="0"/>
    <xf numFmtId="0" fontId="77" fillId="0" borderId="39" applyNumberFormat="0" applyFill="0" applyAlignment="0" applyProtection="0"/>
    <xf numFmtId="0" fontId="77" fillId="0" borderId="39" applyNumberFormat="0" applyFill="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53" fillId="0" borderId="0"/>
    <xf numFmtId="0" fontId="13" fillId="0" borderId="0"/>
    <xf numFmtId="0" fontId="13" fillId="0" borderId="0"/>
    <xf numFmtId="0" fontId="13" fillId="0" borderId="0"/>
    <xf numFmtId="0" fontId="5" fillId="0" borderId="0"/>
    <xf numFmtId="0" fontId="5" fillId="0" borderId="0"/>
    <xf numFmtId="0" fontId="5" fillId="0" borderId="0"/>
    <xf numFmtId="0" fontId="79" fillId="0" borderId="0"/>
    <xf numFmtId="0" fontId="5" fillId="0" borderId="0"/>
    <xf numFmtId="0" fontId="5" fillId="0" borderId="0"/>
    <xf numFmtId="0" fontId="13" fillId="0" borderId="0"/>
    <xf numFmtId="0" fontId="14" fillId="0" borderId="0"/>
    <xf numFmtId="0" fontId="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14" fillId="0" borderId="0"/>
    <xf numFmtId="0" fontId="13" fillId="0" borderId="0"/>
    <xf numFmtId="0" fontId="13" fillId="0" borderId="0"/>
    <xf numFmtId="0" fontId="13" fillId="0" borderId="0"/>
    <xf numFmtId="0" fontId="13" fillId="0" borderId="0"/>
    <xf numFmtId="0" fontId="5" fillId="0" borderId="0"/>
    <xf numFmtId="0" fontId="5" fillId="0" borderId="0"/>
    <xf numFmtId="0" fontId="14" fillId="0" borderId="0"/>
    <xf numFmtId="0" fontId="14" fillId="0" borderId="0"/>
    <xf numFmtId="0" fontId="5" fillId="0" borderId="0"/>
    <xf numFmtId="0" fontId="13" fillId="0" borderId="0"/>
    <xf numFmtId="0" fontId="13" fillId="0" borderId="0"/>
    <xf numFmtId="0" fontId="5" fillId="0" borderId="0"/>
    <xf numFmtId="0" fontId="5" fillId="0" borderId="0"/>
    <xf numFmtId="0" fontId="5" fillId="0" borderId="0"/>
    <xf numFmtId="0" fontId="13"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5" fillId="0" borderId="0"/>
    <xf numFmtId="0" fontId="79" fillId="0" borderId="0"/>
    <xf numFmtId="0" fontId="13" fillId="0" borderId="0"/>
    <xf numFmtId="0" fontId="13" fillId="0" borderId="0"/>
    <xf numFmtId="0" fontId="13" fillId="0" borderId="0"/>
    <xf numFmtId="0" fontId="5" fillId="0" borderId="0"/>
    <xf numFmtId="0" fontId="13" fillId="0" borderId="0"/>
    <xf numFmtId="0" fontId="79" fillId="0" borderId="0"/>
    <xf numFmtId="0" fontId="79" fillId="0" borderId="0"/>
    <xf numFmtId="0" fontId="79" fillId="0" borderId="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35" fillId="7" borderId="26"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13"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2" fillId="0" borderId="0" applyNumberFormat="0" applyFill="0" applyBorder="0" applyAlignment="0" applyProtection="0"/>
    <xf numFmtId="49" fontId="52" fillId="0" borderId="0" applyFill="0" applyBorder="0" applyAlignment="0" applyProtection="0"/>
    <xf numFmtId="0" fontId="81" fillId="49" borderId="0" applyNumberFormat="0" applyBorder="0" applyAlignment="0" applyProtection="0"/>
    <xf numFmtId="0" fontId="60" fillId="0" borderId="0" applyNumberFormat="0" applyFill="0" applyBorder="0" applyAlignment="0" applyProtection="0"/>
    <xf numFmtId="0" fontId="82" fillId="0" borderId="13" applyNumberFormat="0" applyFill="0" applyProtection="0">
      <alignment horizontal="center" wrapText="1"/>
    </xf>
    <xf numFmtId="0" fontId="82" fillId="0" borderId="13" applyNumberFormat="0" applyFill="0" applyProtection="0">
      <alignment horizontal="center"/>
    </xf>
    <xf numFmtId="3" fontId="52" fillId="0" borderId="0" applyFill="0" applyBorder="0" applyAlignment="0" applyProtection="0"/>
    <xf numFmtId="4" fontId="52" fillId="0" borderId="0" applyFill="0" applyBorder="0" applyAlignment="0" applyProtection="0"/>
    <xf numFmtId="5" fontId="52" fillId="0" borderId="0" applyFill="0" applyBorder="0" applyAlignment="0" applyProtection="0"/>
    <xf numFmtId="178" fontId="52" fillId="0" borderId="0" applyFill="0" applyBorder="0" applyAlignment="0" applyProtection="0"/>
    <xf numFmtId="179" fontId="52" fillId="0" borderId="0" applyFill="0" applyBorder="0" applyAlignment="0" applyProtection="0"/>
    <xf numFmtId="10" fontId="52" fillId="0" borderId="0" applyFill="0" applyBorder="0" applyProtection="0">
      <alignment horizontal="right"/>
    </xf>
    <xf numFmtId="0" fontId="31"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26" fillId="0" borderId="28"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43" fontId="15" fillId="0" borderId="0" applyFont="0" applyFill="0" applyBorder="0" applyAlignment="0" applyProtection="0"/>
    <xf numFmtId="0" fontId="84" fillId="0" borderId="0"/>
    <xf numFmtId="43" fontId="84" fillId="0" borderId="0" applyFont="0" applyFill="0" applyBorder="0" applyAlignment="0" applyProtection="0"/>
    <xf numFmtId="0" fontId="84" fillId="0" borderId="0"/>
    <xf numFmtId="43" fontId="84" fillId="0" borderId="0" applyFont="0" applyFill="0" applyBorder="0" applyAlignment="0" applyProtection="0"/>
    <xf numFmtId="0" fontId="84" fillId="0" borderId="0"/>
    <xf numFmtId="43" fontId="84" fillId="0" borderId="0" applyFont="0" applyFill="0" applyBorder="0" applyAlignment="0" applyProtection="0"/>
    <xf numFmtId="0" fontId="84" fillId="0" borderId="0"/>
    <xf numFmtId="43" fontId="84" fillId="0" borderId="0" applyFont="0" applyFill="0" applyBorder="0" applyAlignment="0" applyProtection="0"/>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2" fillId="0" borderId="43">
      <alignment horizontal="left" vertical="center"/>
    </xf>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2" fillId="0" borderId="43">
      <alignment horizontal="left" vertical="center"/>
    </xf>
    <xf numFmtId="5" fontId="59" fillId="0" borderId="3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67" fillId="30" borderId="34" applyNumberFormat="0" applyAlignment="0" applyProtection="0"/>
    <xf numFmtId="0" fontId="62" fillId="0" borderId="43">
      <alignment horizontal="left" vertical="center"/>
    </xf>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62" fillId="0" borderId="43">
      <alignment horizontal="left" vertical="center"/>
    </xf>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2" fillId="0" borderId="43">
      <alignment horizontal="left" vertical="center"/>
    </xf>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2" fillId="0" borderId="43">
      <alignment horizontal="left" vertical="center"/>
    </xf>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2" fillId="0" borderId="43">
      <alignment horizontal="left" vertical="center"/>
    </xf>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2" fillId="0" borderId="43">
      <alignment horizontal="left" vertical="center"/>
    </xf>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2" fillId="0" borderId="43">
      <alignment horizontal="left" vertical="center"/>
    </xf>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2" fillId="0" borderId="43">
      <alignment horizontal="left" vertical="center"/>
    </xf>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5" fontId="59" fillId="0" borderId="3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59" fillId="0" borderId="19">
      <alignment horizontal="center"/>
    </xf>
    <xf numFmtId="0" fontId="59" fillId="0" borderId="19">
      <alignment horizontal="center"/>
    </xf>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2" fillId="0" borderId="17">
      <alignment horizontal="left" vertical="center"/>
    </xf>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2" fillId="0" borderId="17">
      <alignment horizontal="left" vertical="center"/>
    </xf>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67" fillId="30" borderId="34" applyNumberFormat="0" applyAlignment="0" applyProtection="0"/>
    <xf numFmtId="0" fontId="62" fillId="0" borderId="17">
      <alignment horizontal="left" vertical="center"/>
    </xf>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62" fillId="0" borderId="17">
      <alignment horizontal="left" vertical="center"/>
    </xf>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2" fillId="0" borderId="17">
      <alignment horizontal="left" vertical="center"/>
    </xf>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2" fillId="0" borderId="17">
      <alignment horizontal="left" vertical="center"/>
    </xf>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2" fillId="0" borderId="17">
      <alignment horizontal="left" vertical="center"/>
    </xf>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2" fillId="0" borderId="17">
      <alignment horizontal="left" vertical="center"/>
    </xf>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2" fillId="0" borderId="17">
      <alignment horizontal="left" vertical="center"/>
    </xf>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2" fillId="0" borderId="17">
      <alignment horizontal="left" vertical="center"/>
    </xf>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67" fillId="30"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76" fillId="39" borderId="34" applyNumberForma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13" fillId="36" borderId="40" applyNumberFormat="0" applyFon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80" fillId="30" borderId="41" applyNumberFormat="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5" fillId="0" borderId="0"/>
    <xf numFmtId="43" fontId="85"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cellStyleXfs>
  <cellXfs count="314">
    <xf numFmtId="0" fontId="0" fillId="0" borderId="0" xfId="0"/>
    <xf numFmtId="38" fontId="12" fillId="2" borderId="0" xfId="2" applyNumberFormat="1" applyFont="1" applyFill="1" applyBorder="1" applyProtection="1"/>
    <xf numFmtId="0" fontId="18" fillId="2" borderId="0" xfId="2" applyFont="1" applyFill="1" applyBorder="1" applyProtection="1"/>
    <xf numFmtId="0" fontId="12" fillId="2" borderId="0" xfId="2" applyFont="1" applyFill="1" applyBorder="1" applyProtection="1"/>
    <xf numFmtId="38" fontId="15" fillId="2" borderId="0" xfId="2" quotePrefix="1" applyNumberFormat="1" applyFont="1" applyFill="1" applyBorder="1" applyAlignment="1" applyProtection="1">
      <alignment horizontal="right"/>
    </xf>
    <xf numFmtId="0" fontId="24" fillId="0" borderId="0" xfId="0" applyFont="1"/>
    <xf numFmtId="0" fontId="24" fillId="2" borderId="0" xfId="2" applyFont="1" applyFill="1" applyBorder="1" applyAlignment="1" applyProtection="1">
      <alignment horizontal="left"/>
    </xf>
    <xf numFmtId="9" fontId="13" fillId="2" borderId="0" xfId="2" applyNumberFormat="1" applyFont="1" applyFill="1" applyBorder="1" applyAlignment="1" applyProtection="1">
      <alignment horizontal="center"/>
    </xf>
    <xf numFmtId="0" fontId="18" fillId="4" borderId="0" xfId="2" applyFont="1" applyFill="1" applyBorder="1" applyProtection="1"/>
    <xf numFmtId="0" fontId="18" fillId="4" borderId="0" xfId="2" applyFont="1" applyFill="1" applyBorder="1" applyAlignment="1" applyProtection="1">
      <alignment horizontal="left"/>
    </xf>
    <xf numFmtId="0" fontId="13" fillId="2" borderId="0" xfId="2" applyFont="1" applyFill="1" applyBorder="1" applyAlignment="1" applyProtection="1">
      <alignment horizontal="left"/>
    </xf>
    <xf numFmtId="0" fontId="23" fillId="2" borderId="0" xfId="2" applyFont="1" applyFill="1" applyBorder="1" applyAlignment="1" applyProtection="1">
      <protection locked="0"/>
    </xf>
    <xf numFmtId="0" fontId="12" fillId="2" borderId="0" xfId="2" applyFont="1" applyFill="1" applyBorder="1" applyAlignment="1" applyProtection="1">
      <alignment horizontal="right"/>
      <protection locked="0"/>
    </xf>
    <xf numFmtId="0" fontId="13" fillId="0" borderId="0" xfId="0" applyFont="1"/>
    <xf numFmtId="0" fontId="29" fillId="0" borderId="0" xfId="4" applyFont="1" applyFill="1" applyBorder="1" applyAlignment="1">
      <alignment horizontal="left" wrapText="1"/>
    </xf>
    <xf numFmtId="0" fontId="26" fillId="0" borderId="0" xfId="53" applyFont="1" applyAlignment="1">
      <alignment horizontal="center" wrapText="1"/>
    </xf>
    <xf numFmtId="0" fontId="26" fillId="0" borderId="0" xfId="53" applyFont="1" applyFill="1" applyAlignment="1">
      <alignment horizontal="center" wrapText="1"/>
    </xf>
    <xf numFmtId="2" fontId="26" fillId="6" borderId="0" xfId="53" applyNumberFormat="1" applyFont="1" applyFill="1" applyAlignment="1">
      <alignment horizontal="center" wrapText="1"/>
    </xf>
    <xf numFmtId="0" fontId="29" fillId="0" borderId="0" xfId="4" applyFont="1" applyFill="1" applyAlignment="1">
      <alignment horizontal="center" wrapText="1"/>
    </xf>
    <xf numFmtId="165" fontId="26" fillId="0" borderId="0" xfId="53" applyNumberFormat="1" applyFont="1" applyAlignment="1">
      <alignment horizontal="center" wrapText="1"/>
    </xf>
    <xf numFmtId="165" fontId="26" fillId="0" borderId="0" xfId="53" applyNumberFormat="1" applyFont="1" applyFill="1" applyAlignment="1">
      <alignment horizontal="center" wrapText="1"/>
    </xf>
    <xf numFmtId="165" fontId="26" fillId="6" borderId="0" xfId="53" applyNumberFormat="1" applyFont="1" applyFill="1" applyAlignment="1">
      <alignment horizontal="center" wrapText="1"/>
    </xf>
    <xf numFmtId="0" fontId="6" fillId="0" borderId="0" xfId="53"/>
    <xf numFmtId="0" fontId="30" fillId="0" borderId="0" xfId="4" applyFont="1" applyFill="1" applyBorder="1" applyAlignment="1">
      <alignment horizontal="left"/>
    </xf>
    <xf numFmtId="0" fontId="6" fillId="0" borderId="0" xfId="53" applyAlignment="1">
      <alignment horizontal="center"/>
    </xf>
    <xf numFmtId="2" fontId="6" fillId="0" borderId="0" xfId="53" applyNumberFormat="1" applyAlignment="1">
      <alignment horizontal="center"/>
    </xf>
    <xf numFmtId="0" fontId="6" fillId="0" borderId="0" xfId="53" applyNumberFormat="1" applyAlignment="1">
      <alignment horizontal="center"/>
    </xf>
    <xf numFmtId="2" fontId="0" fillId="0" borderId="0" xfId="54" applyNumberFormat="1" applyFont="1" applyAlignment="1">
      <alignment horizontal="center"/>
    </xf>
    <xf numFmtId="0" fontId="30" fillId="0" borderId="0" xfId="4" applyFont="1" applyFill="1" applyAlignment="1">
      <alignment horizontal="left"/>
    </xf>
    <xf numFmtId="165" fontId="6" fillId="0" borderId="0" xfId="53" applyNumberFormat="1" applyAlignment="1">
      <alignment horizontal="center"/>
    </xf>
    <xf numFmtId="166" fontId="6" fillId="0" borderId="0" xfId="53" applyNumberFormat="1"/>
    <xf numFmtId="43" fontId="0" fillId="0" borderId="0" xfId="54" applyFont="1"/>
    <xf numFmtId="0" fontId="6" fillId="0" borderId="0" xfId="53" applyFill="1"/>
    <xf numFmtId="0" fontId="6" fillId="0" borderId="0" xfId="53" applyAlignment="1">
      <alignment horizontal="left"/>
    </xf>
    <xf numFmtId="0" fontId="6" fillId="0" borderId="0" xfId="53" applyNumberFormat="1"/>
    <xf numFmtId="0" fontId="26" fillId="0" borderId="21" xfId="53" applyFont="1" applyBorder="1"/>
    <xf numFmtId="0" fontId="26" fillId="6" borderId="21" xfId="53" applyFont="1" applyFill="1" applyBorder="1"/>
    <xf numFmtId="0" fontId="26" fillId="0" borderId="21" xfId="53" applyFont="1" applyFill="1" applyBorder="1"/>
    <xf numFmtId="0" fontId="26" fillId="0" borderId="17" xfId="0" applyFont="1" applyBorder="1"/>
    <xf numFmtId="0" fontId="0" fillId="0" borderId="0" xfId="0" applyFill="1"/>
    <xf numFmtId="0" fontId="0" fillId="0" borderId="0" xfId="0" applyFill="1" applyBorder="1"/>
    <xf numFmtId="1" fontId="0" fillId="0" borderId="0" xfId="0" applyNumberFormat="1" applyFill="1"/>
    <xf numFmtId="43" fontId="6" fillId="0" borderId="0" xfId="53" applyNumberFormat="1"/>
    <xf numFmtId="44" fontId="0" fillId="0" borderId="0" xfId="52" applyFont="1"/>
    <xf numFmtId="37" fontId="13" fillId="3" borderId="0" xfId="2" applyNumberFormat="1" applyFont="1" applyFill="1" applyBorder="1" applyProtection="1">
      <protection locked="0"/>
    </xf>
    <xf numFmtId="38" fontId="12" fillId="2" borderId="0" xfId="2" applyNumberFormat="1" applyFont="1" applyFill="1" applyBorder="1" applyAlignment="1" applyProtection="1">
      <alignment horizontal="center"/>
    </xf>
    <xf numFmtId="14" fontId="0" fillId="0" borderId="46" xfId="0" applyNumberFormat="1" applyBorder="1"/>
    <xf numFmtId="0" fontId="13" fillId="0" borderId="49" xfId="0" applyFont="1" applyBorder="1"/>
    <xf numFmtId="0" fontId="0" fillId="0" borderId="50" xfId="0" applyBorder="1"/>
    <xf numFmtId="43" fontId="0" fillId="0" borderId="48" xfId="1883" applyFont="1" applyBorder="1"/>
    <xf numFmtId="180" fontId="0" fillId="0" borderId="10" xfId="1883" applyNumberFormat="1" applyFont="1" applyBorder="1"/>
    <xf numFmtId="180" fontId="0" fillId="0" borderId="48" xfId="1883" applyNumberFormat="1" applyFont="1" applyBorder="1"/>
    <xf numFmtId="37" fontId="13" fillId="50" borderId="47" xfId="2" applyNumberFormat="1" applyFont="1" applyFill="1" applyBorder="1" applyProtection="1">
      <protection locked="0"/>
    </xf>
    <xf numFmtId="37" fontId="13" fillId="50" borderId="50" xfId="2" applyNumberFormat="1" applyFont="1" applyFill="1" applyBorder="1" applyProtection="1">
      <protection locked="0"/>
    </xf>
    <xf numFmtId="0" fontId="86" fillId="6" borderId="0" xfId="0" applyFont="1" applyFill="1" applyAlignment="1">
      <alignment horizontal="center" vertical="center" wrapText="1"/>
    </xf>
    <xf numFmtId="0" fontId="68" fillId="52" borderId="52" xfId="1884" quotePrefix="1" applyFont="1" applyFill="1" applyBorder="1" applyAlignment="1">
      <alignment horizontal="center" vertical="center" wrapText="1" readingOrder="1"/>
    </xf>
    <xf numFmtId="0" fontId="68" fillId="52" borderId="52" xfId="1884" applyFont="1" applyFill="1" applyBorder="1" applyAlignment="1">
      <alignment horizontal="center" vertical="center" wrapText="1" readingOrder="1"/>
    </xf>
    <xf numFmtId="0" fontId="68" fillId="52" borderId="52" xfId="1884" applyFont="1" applyFill="1" applyBorder="1" applyAlignment="1">
      <alignment horizontal="center" vertical="center" wrapText="1"/>
    </xf>
    <xf numFmtId="0" fontId="4" fillId="0" borderId="0" xfId="1884" applyBorder="1"/>
    <xf numFmtId="0" fontId="87" fillId="53" borderId="0" xfId="1884" applyFont="1" applyFill="1" applyBorder="1" applyAlignment="1">
      <alignment horizontal="left" vertical="center" wrapText="1" readingOrder="1"/>
    </xf>
    <xf numFmtId="0" fontId="87" fillId="53" borderId="0" xfId="1884" applyFont="1" applyFill="1" applyBorder="1" applyAlignment="1">
      <alignment horizontal="left" vertical="center" wrapText="1"/>
    </xf>
    <xf numFmtId="8" fontId="87" fillId="53" borderId="0" xfId="1884" applyNumberFormat="1" applyFont="1" applyFill="1" applyBorder="1" applyAlignment="1">
      <alignment horizontal="right" vertical="center" wrapText="1" indent="1" readingOrder="1"/>
    </xf>
    <xf numFmtId="0" fontId="87" fillId="53" borderId="0" xfId="1884" applyFont="1" applyFill="1" applyBorder="1" applyAlignment="1">
      <alignment horizontal="right" vertical="center" wrapText="1" indent="1" readingOrder="1"/>
    </xf>
    <xf numFmtId="3" fontId="87" fillId="53" borderId="0" xfId="1884" applyNumberFormat="1" applyFont="1" applyFill="1" applyBorder="1" applyAlignment="1">
      <alignment horizontal="right" vertical="center" wrapText="1" indent="1" readingOrder="1"/>
    </xf>
    <xf numFmtId="0" fontId="88" fillId="53" borderId="0" xfId="1884" applyFont="1" applyFill="1" applyBorder="1" applyAlignment="1">
      <alignment horizontal="left" vertical="center" wrapText="1" readingOrder="1"/>
    </xf>
    <xf numFmtId="0" fontId="87" fillId="54" borderId="0" xfId="1884" applyFont="1" applyFill="1" applyBorder="1" applyAlignment="1">
      <alignment horizontal="left" vertical="center" wrapText="1" readingOrder="1"/>
    </xf>
    <xf numFmtId="0" fontId="87" fillId="54" borderId="0" xfId="1884" applyFont="1" applyFill="1" applyBorder="1" applyAlignment="1">
      <alignment horizontal="left" vertical="center" wrapText="1"/>
    </xf>
    <xf numFmtId="8" fontId="87" fillId="54" borderId="0" xfId="1884" applyNumberFormat="1" applyFont="1" applyFill="1" applyBorder="1" applyAlignment="1">
      <alignment horizontal="right" vertical="center" wrapText="1" indent="1" readingOrder="1"/>
    </xf>
    <xf numFmtId="0" fontId="87" fillId="54" borderId="0" xfId="1884" applyFont="1" applyFill="1" applyBorder="1" applyAlignment="1">
      <alignment horizontal="right" vertical="center" wrapText="1" indent="1" readingOrder="1"/>
    </xf>
    <xf numFmtId="3" fontId="87" fillId="54" borderId="0" xfId="1884" applyNumberFormat="1" applyFont="1" applyFill="1" applyBorder="1" applyAlignment="1">
      <alignment horizontal="right" vertical="center" wrapText="1" indent="1" readingOrder="1"/>
    </xf>
    <xf numFmtId="0" fontId="88" fillId="54" borderId="0" xfId="1884" quotePrefix="1" applyFont="1" applyFill="1" applyBorder="1" applyAlignment="1">
      <alignment horizontal="left" vertical="center" wrapText="1" readingOrder="1"/>
    </xf>
    <xf numFmtId="8" fontId="89" fillId="53" borderId="0" xfId="1884" applyNumberFormat="1" applyFont="1" applyFill="1" applyBorder="1" applyAlignment="1">
      <alignment horizontal="right" vertical="center" wrapText="1" indent="1" readingOrder="1"/>
    </xf>
    <xf numFmtId="8" fontId="89" fillId="54" borderId="0" xfId="1884" applyNumberFormat="1" applyFont="1" applyFill="1" applyBorder="1" applyAlignment="1">
      <alignment horizontal="right" vertical="center" wrapText="1" indent="1" readingOrder="1"/>
    </xf>
    <xf numFmtId="0" fontId="90" fillId="54" borderId="0" xfId="1884" quotePrefix="1" applyFont="1" applyFill="1" applyBorder="1" applyAlignment="1">
      <alignment horizontal="left" vertical="center" wrapText="1" readingOrder="1"/>
    </xf>
    <xf numFmtId="0" fontId="90" fillId="53" borderId="0" xfId="1884" applyFont="1" applyFill="1" applyBorder="1" applyAlignment="1">
      <alignment horizontal="left" vertical="center" wrapText="1" readingOrder="1"/>
    </xf>
    <xf numFmtId="0" fontId="91" fillId="55" borderId="0" xfId="1884" applyFont="1" applyFill="1" applyBorder="1" applyAlignment="1">
      <alignment horizontal="left" vertical="center" wrapText="1" readingOrder="1"/>
    </xf>
    <xf numFmtId="0" fontId="4" fillId="0" borderId="0" xfId="1884" applyBorder="1" applyAlignment="1">
      <alignment wrapText="1"/>
    </xf>
    <xf numFmtId="0" fontId="4" fillId="0" borderId="0" xfId="53" applyFont="1" applyAlignment="1">
      <alignment horizontal="center"/>
    </xf>
    <xf numFmtId="0" fontId="4" fillId="0" borderId="0" xfId="53" applyFont="1"/>
    <xf numFmtId="0" fontId="3" fillId="0" borderId="0" xfId="53" applyFont="1" applyAlignment="1">
      <alignment horizontal="center"/>
    </xf>
    <xf numFmtId="0" fontId="3" fillId="0" borderId="0" xfId="1884" applyFont="1" applyBorder="1"/>
    <xf numFmtId="0" fontId="92" fillId="0" borderId="0" xfId="0" applyFont="1"/>
    <xf numFmtId="43" fontId="93" fillId="0" borderId="0" xfId="74" applyFont="1"/>
    <xf numFmtId="0" fontId="93" fillId="0" borderId="0" xfId="0" applyFont="1"/>
    <xf numFmtId="43" fontId="93" fillId="0" borderId="53" xfId="74" applyFont="1" applyBorder="1"/>
    <xf numFmtId="0" fontId="93" fillId="0" borderId="0" xfId="0" applyFont="1" applyBorder="1"/>
    <xf numFmtId="0" fontId="86" fillId="55" borderId="0" xfId="0" applyFont="1" applyFill="1" applyAlignment="1">
      <alignment horizontal="center" vertical="center" wrapText="1"/>
    </xf>
    <xf numFmtId="43" fontId="93" fillId="55" borderId="15" xfId="74" applyFont="1" applyFill="1" applyBorder="1" applyAlignment="1">
      <alignment horizontal="center"/>
    </xf>
    <xf numFmtId="43" fontId="93" fillId="56" borderId="0" xfId="74" applyFont="1" applyFill="1" applyBorder="1" applyAlignment="1">
      <alignment horizontal="center"/>
    </xf>
    <xf numFmtId="43" fontId="86" fillId="55" borderId="0" xfId="74" quotePrefix="1" applyFont="1" applyFill="1" applyAlignment="1">
      <alignment horizontal="center" vertical="center" wrapText="1"/>
    </xf>
    <xf numFmtId="43" fontId="86" fillId="55" borderId="0" xfId="74" applyFont="1" applyFill="1" applyAlignment="1">
      <alignment horizontal="center" vertical="center" wrapText="1"/>
    </xf>
    <xf numFmtId="43" fontId="86" fillId="6" borderId="0" xfId="74" applyFont="1" applyFill="1" applyAlignment="1">
      <alignment horizontal="center" vertical="center" wrapText="1"/>
    </xf>
    <xf numFmtId="0" fontId="86" fillId="55" borderId="31" xfId="0" applyFont="1" applyFill="1" applyBorder="1" applyAlignment="1">
      <alignment horizontal="center" vertical="center" wrapText="1"/>
    </xf>
    <xf numFmtId="43" fontId="94" fillId="0" borderId="0" xfId="74" applyFont="1"/>
    <xf numFmtId="44" fontId="93" fillId="0" borderId="0" xfId="833" applyFont="1"/>
    <xf numFmtId="0" fontId="93" fillId="0" borderId="53" xfId="0" applyFont="1" applyBorder="1"/>
    <xf numFmtId="0" fontId="93" fillId="0" borderId="31" xfId="0" applyFont="1" applyBorder="1"/>
    <xf numFmtId="43" fontId="93" fillId="6" borderId="0" xfId="74" applyFont="1" applyFill="1"/>
    <xf numFmtId="0" fontId="95" fillId="0" borderId="0" xfId="0" applyFont="1"/>
    <xf numFmtId="43" fontId="95" fillId="0" borderId="0" xfId="74" applyFont="1"/>
    <xf numFmtId="0" fontId="86" fillId="0" borderId="0" xfId="0" applyFont="1"/>
    <xf numFmtId="0" fontId="94" fillId="0" borderId="0" xfId="4" applyFont="1" applyFill="1" applyBorder="1" applyAlignment="1">
      <alignment horizontal="left"/>
    </xf>
    <xf numFmtId="43" fontId="93" fillId="0" borderId="53" xfId="0" applyNumberFormat="1" applyFont="1" applyBorder="1"/>
    <xf numFmtId="43" fontId="93" fillId="0" borderId="0" xfId="0" applyNumberFormat="1" applyFont="1"/>
    <xf numFmtId="0" fontId="93" fillId="0" borderId="0" xfId="0" applyFont="1" applyFill="1"/>
    <xf numFmtId="43" fontId="93" fillId="0" borderId="0" xfId="74" applyFont="1" applyFill="1"/>
    <xf numFmtId="180" fontId="0" fillId="0" borderId="46" xfId="1883" applyNumberFormat="1" applyFont="1" applyBorder="1"/>
    <xf numFmtId="180" fontId="0" fillId="0" borderId="10" xfId="74" applyNumberFormat="1" applyFont="1" applyBorder="1"/>
    <xf numFmtId="43" fontId="0" fillId="0" borderId="48" xfId="74" applyFont="1" applyBorder="1"/>
    <xf numFmtId="37" fontId="18" fillId="51" borderId="47" xfId="2" applyNumberFormat="1" applyFont="1" applyFill="1" applyBorder="1" applyProtection="1"/>
    <xf numFmtId="37" fontId="13" fillId="51" borderId="9" xfId="2" applyNumberFormat="1" applyFont="1" applyFill="1" applyBorder="1" applyProtection="1"/>
    <xf numFmtId="37" fontId="13" fillId="51" borderId="47" xfId="2" applyNumberFormat="1" applyFont="1" applyFill="1" applyBorder="1" applyProtection="1"/>
    <xf numFmtId="9" fontId="21" fillId="2" borderId="0" xfId="0" applyNumberFormat="1" applyFont="1" applyFill="1" applyBorder="1" applyAlignment="1" applyProtection="1">
      <alignment horizontal="left"/>
      <protection locked="0"/>
    </xf>
    <xf numFmtId="0" fontId="20" fillId="2" borderId="0" xfId="2" applyFont="1" applyFill="1" applyBorder="1" applyProtection="1">
      <protection locked="0"/>
    </xf>
    <xf numFmtId="9" fontId="21" fillId="2" borderId="0" xfId="0" applyNumberFormat="1" applyFont="1" applyFill="1" applyBorder="1" applyAlignment="1" applyProtection="1">
      <protection locked="0"/>
    </xf>
    <xf numFmtId="2" fontId="12" fillId="50" borderId="0" xfId="4" applyNumberFormat="1" applyFont="1" applyFill="1" applyAlignment="1" applyProtection="1">
      <alignment horizontal="left"/>
      <protection locked="0"/>
    </xf>
    <xf numFmtId="0" fontId="20" fillId="4" borderId="0" xfId="2" applyFont="1" applyFill="1" applyBorder="1" applyProtection="1">
      <protection locked="0"/>
    </xf>
    <xf numFmtId="9" fontId="21" fillId="2" borderId="0" xfId="0" applyNumberFormat="1" applyFont="1" applyFill="1" applyBorder="1" applyAlignment="1" applyProtection="1">
      <alignment horizontal="center"/>
      <protection locked="0"/>
    </xf>
    <xf numFmtId="0" fontId="18" fillId="4" borderId="3" xfId="2" applyFont="1" applyFill="1" applyBorder="1" applyProtection="1">
      <protection locked="0"/>
    </xf>
    <xf numFmtId="0" fontId="21" fillId="50" borderId="0" xfId="0" applyNumberFormat="1" applyFont="1" applyFill="1" applyBorder="1" applyAlignment="1" applyProtection="1">
      <alignment horizontal="left"/>
      <protection locked="0"/>
    </xf>
    <xf numFmtId="9" fontId="98" fillId="3" borderId="0" xfId="0" applyNumberFormat="1" applyFont="1" applyFill="1" applyBorder="1" applyAlignment="1" applyProtection="1">
      <alignment horizontal="left"/>
      <protection locked="0"/>
    </xf>
    <xf numFmtId="0" fontId="12" fillId="2" borderId="0" xfId="2" quotePrefix="1" applyFont="1" applyFill="1" applyBorder="1" applyAlignment="1" applyProtection="1">
      <alignment horizontal="right"/>
      <protection locked="0"/>
    </xf>
    <xf numFmtId="0" fontId="18" fillId="4" borderId="13" xfId="2" applyFont="1" applyFill="1" applyBorder="1" applyProtection="1">
      <protection locked="0"/>
    </xf>
    <xf numFmtId="0" fontId="18" fillId="4" borderId="0" xfId="2" applyFont="1" applyFill="1" applyBorder="1" applyProtection="1">
      <protection locked="0"/>
    </xf>
    <xf numFmtId="0" fontId="18" fillId="2" borderId="0" xfId="2" applyFont="1" applyFill="1" applyBorder="1" applyProtection="1">
      <protection locked="0"/>
    </xf>
    <xf numFmtId="9" fontId="12" fillId="2" borderId="0" xfId="0" applyNumberFormat="1" applyFont="1" applyFill="1" applyProtection="1">
      <protection locked="0"/>
    </xf>
    <xf numFmtId="0" fontId="18" fillId="4" borderId="0" xfId="2" applyFont="1" applyFill="1" applyBorder="1" applyAlignment="1" applyProtection="1">
      <alignment horizontal="left"/>
      <protection locked="0"/>
    </xf>
    <xf numFmtId="0" fontId="15" fillId="2" borderId="8" xfId="2" applyFont="1" applyFill="1" applyBorder="1" applyProtection="1">
      <protection locked="0"/>
    </xf>
    <xf numFmtId="14" fontId="18" fillId="50" borderId="9" xfId="2" applyNumberFormat="1" applyFont="1" applyFill="1" applyBorder="1" applyProtection="1">
      <protection locked="0"/>
    </xf>
    <xf numFmtId="180" fontId="18" fillId="50" borderId="9" xfId="1883" applyNumberFormat="1" applyFont="1" applyFill="1" applyBorder="1" applyProtection="1">
      <protection locked="0"/>
    </xf>
    <xf numFmtId="0" fontId="18" fillId="2" borderId="8" xfId="2" applyFont="1" applyFill="1" applyBorder="1" applyAlignment="1" applyProtection="1">
      <alignment wrapText="1"/>
      <protection locked="0"/>
    </xf>
    <xf numFmtId="0" fontId="15" fillId="2" borderId="46" xfId="2" quotePrefix="1" applyFont="1" applyFill="1" applyBorder="1" applyAlignment="1" applyProtection="1">
      <alignment horizontal="left"/>
      <protection locked="0"/>
    </xf>
    <xf numFmtId="37" fontId="18" fillId="50" borderId="47" xfId="2" applyNumberFormat="1" applyFont="1" applyFill="1" applyBorder="1" applyProtection="1">
      <protection locked="0"/>
    </xf>
    <xf numFmtId="0" fontId="15" fillId="2" borderId="46" xfId="2" applyFont="1" applyFill="1" applyBorder="1" applyProtection="1">
      <protection locked="0"/>
    </xf>
    <xf numFmtId="0" fontId="18" fillId="2" borderId="46" xfId="2" applyFont="1" applyFill="1" applyBorder="1" applyAlignment="1" applyProtection="1">
      <alignment wrapText="1"/>
      <protection locked="0"/>
    </xf>
    <xf numFmtId="180" fontId="18" fillId="50" borderId="47" xfId="1883" applyNumberFormat="1" applyFont="1" applyFill="1" applyBorder="1" applyProtection="1">
      <protection locked="0"/>
    </xf>
    <xf numFmtId="0" fontId="18" fillId="4" borderId="0" xfId="2" quotePrefix="1" applyFont="1" applyFill="1" applyBorder="1" applyAlignment="1" applyProtection="1">
      <alignment horizontal="left"/>
      <protection locked="0"/>
    </xf>
    <xf numFmtId="9" fontId="18" fillId="50" borderId="47" xfId="3" applyFont="1" applyFill="1" applyBorder="1" applyProtection="1">
      <protection locked="0"/>
    </xf>
    <xf numFmtId="0" fontId="18" fillId="2" borderId="46" xfId="2" applyFont="1" applyFill="1" applyBorder="1" applyProtection="1">
      <protection locked="0"/>
    </xf>
    <xf numFmtId="180" fontId="18" fillId="50" borderId="47" xfId="74" applyNumberFormat="1" applyFont="1" applyFill="1" applyBorder="1" applyProtection="1">
      <protection locked="0"/>
    </xf>
    <xf numFmtId="0" fontId="15" fillId="2" borderId="46" xfId="2" quotePrefix="1" applyFont="1" applyFill="1" applyBorder="1" applyAlignment="1" applyProtection="1">
      <alignment horizontal="left" wrapText="1"/>
      <protection locked="0"/>
    </xf>
    <xf numFmtId="0" fontId="15" fillId="2" borderId="48" xfId="2" applyFont="1" applyFill="1" applyBorder="1" applyProtection="1">
      <protection locked="0"/>
    </xf>
    <xf numFmtId="43" fontId="12" fillId="2" borderId="0" xfId="1883" applyFont="1" applyFill="1" applyProtection="1">
      <protection locked="0"/>
    </xf>
    <xf numFmtId="0" fontId="15" fillId="2" borderId="0" xfId="2" applyFont="1" applyFill="1" applyBorder="1" applyProtection="1">
      <protection locked="0"/>
    </xf>
    <xf numFmtId="9" fontId="13" fillId="2" borderId="0" xfId="2" applyNumberFormat="1" applyFont="1" applyFill="1" applyBorder="1" applyAlignment="1" applyProtection="1">
      <alignment horizontal="center"/>
      <protection locked="0"/>
    </xf>
    <xf numFmtId="0" fontId="12" fillId="2" borderId="0" xfId="2" applyFont="1" applyFill="1" applyBorder="1" applyProtection="1">
      <protection locked="0"/>
    </xf>
    <xf numFmtId="0" fontId="15" fillId="2" borderId="48" xfId="2" quotePrefix="1" applyFont="1" applyFill="1" applyBorder="1" applyAlignment="1" applyProtection="1">
      <alignment horizontal="left"/>
      <protection locked="0"/>
    </xf>
    <xf numFmtId="37" fontId="18" fillId="50" borderId="50" xfId="2" applyNumberFormat="1" applyFont="1" applyFill="1" applyBorder="1" applyProtection="1">
      <protection locked="0"/>
    </xf>
    <xf numFmtId="0" fontId="15" fillId="2" borderId="10" xfId="2" applyFont="1" applyFill="1" applyBorder="1" applyAlignment="1" applyProtection="1">
      <alignment horizontal="center"/>
      <protection locked="0"/>
    </xf>
    <xf numFmtId="0" fontId="15" fillId="2" borderId="12" xfId="2" applyFont="1" applyFill="1" applyBorder="1" applyAlignment="1" applyProtection="1">
      <alignment horizontal="center"/>
      <protection locked="0"/>
    </xf>
    <xf numFmtId="0" fontId="18" fillId="50" borderId="46" xfId="2" applyFont="1" applyFill="1" applyBorder="1" applyProtection="1">
      <protection locked="0"/>
    </xf>
    <xf numFmtId="0" fontId="18" fillId="2" borderId="47" xfId="2" applyFont="1" applyFill="1" applyBorder="1" applyProtection="1">
      <protection locked="0"/>
    </xf>
    <xf numFmtId="0" fontId="18" fillId="51" borderId="48" xfId="2" applyFont="1" applyFill="1" applyBorder="1" applyProtection="1">
      <protection locked="0"/>
    </xf>
    <xf numFmtId="0" fontId="18" fillId="2" borderId="50" xfId="2" applyFont="1" applyFill="1" applyBorder="1" applyProtection="1">
      <protection locked="0"/>
    </xf>
    <xf numFmtId="0" fontId="12" fillId="2" borderId="0" xfId="2" quotePrefix="1" applyFont="1" applyFill="1" applyBorder="1" applyAlignment="1" applyProtection="1">
      <alignment horizontal="center"/>
      <protection locked="0"/>
    </xf>
    <xf numFmtId="0" fontId="15" fillId="2" borderId="0" xfId="2" quotePrefix="1" applyFont="1" applyFill="1" applyBorder="1" applyAlignment="1" applyProtection="1">
      <alignment horizontal="left"/>
      <protection locked="0"/>
    </xf>
    <xf numFmtId="0" fontId="13" fillId="2" borderId="0" xfId="2" applyFont="1" applyFill="1" applyBorder="1" applyProtection="1">
      <protection locked="0"/>
    </xf>
    <xf numFmtId="9" fontId="13" fillId="2" borderId="0" xfId="2" applyNumberFormat="1" applyFont="1" applyFill="1" applyBorder="1" applyProtection="1">
      <protection locked="0"/>
    </xf>
    <xf numFmtId="0" fontId="13" fillId="4" borderId="0" xfId="2" applyFont="1" applyFill="1" applyBorder="1" applyProtection="1">
      <protection locked="0"/>
    </xf>
    <xf numFmtId="9" fontId="13" fillId="2" borderId="3" xfId="2" applyNumberFormat="1" applyFont="1" applyFill="1" applyBorder="1" applyAlignment="1" applyProtection="1">
      <alignment horizontal="center"/>
      <protection locked="0"/>
    </xf>
    <xf numFmtId="0" fontId="13" fillId="2" borderId="3" xfId="2" applyFont="1" applyFill="1" applyBorder="1" applyProtection="1">
      <protection locked="0"/>
    </xf>
    <xf numFmtId="0" fontId="12" fillId="2" borderId="3" xfId="2" quotePrefix="1" applyFont="1" applyFill="1" applyBorder="1" applyAlignment="1" applyProtection="1">
      <alignment horizontal="center"/>
      <protection locked="0"/>
    </xf>
    <xf numFmtId="0" fontId="12" fillId="2" borderId="3" xfId="2" applyFont="1" applyFill="1" applyBorder="1" applyProtection="1">
      <protection locked="0"/>
    </xf>
    <xf numFmtId="0" fontId="12" fillId="2" borderId="13" xfId="2" applyFont="1" applyFill="1" applyBorder="1" applyProtection="1">
      <protection locked="0"/>
    </xf>
    <xf numFmtId="0" fontId="13" fillId="3" borderId="0" xfId="2" applyFont="1" applyFill="1" applyBorder="1" applyProtection="1">
      <protection locked="0"/>
    </xf>
    <xf numFmtId="0" fontId="12" fillId="4" borderId="0" xfId="2" applyFont="1" applyFill="1" applyBorder="1" applyProtection="1">
      <protection locked="0"/>
    </xf>
    <xf numFmtId="9" fontId="13" fillId="3" borderId="0" xfId="2" applyNumberFormat="1" applyFont="1" applyFill="1" applyBorder="1" applyProtection="1">
      <protection locked="0"/>
    </xf>
    <xf numFmtId="0" fontId="12" fillId="3" borderId="0" xfId="2" applyFont="1" applyFill="1" applyBorder="1" applyProtection="1">
      <protection locked="0"/>
    </xf>
    <xf numFmtId="0" fontId="13" fillId="4" borderId="0" xfId="2" applyFont="1" applyFill="1" applyBorder="1" applyAlignment="1" applyProtection="1">
      <alignment vertical="top"/>
      <protection locked="0"/>
    </xf>
    <xf numFmtId="0" fontId="24" fillId="3" borderId="0" xfId="2" applyFont="1" applyFill="1" applyBorder="1" applyAlignment="1" applyProtection="1">
      <alignment horizontal="right" vertical="top"/>
      <protection locked="0"/>
    </xf>
    <xf numFmtId="0" fontId="24" fillId="4" borderId="0" xfId="2" applyFont="1" applyFill="1" applyBorder="1" applyAlignment="1" applyProtection="1">
      <alignment vertical="top"/>
      <protection locked="0"/>
    </xf>
    <xf numFmtId="9" fontId="13" fillId="3" borderId="3" xfId="2" applyNumberFormat="1" applyFont="1" applyFill="1" applyBorder="1" applyAlignment="1" applyProtection="1">
      <alignment horizontal="center" vertical="top"/>
      <protection locked="0"/>
    </xf>
    <xf numFmtId="0" fontId="13" fillId="3" borderId="3" xfId="2" applyFont="1" applyFill="1" applyBorder="1" applyAlignment="1" applyProtection="1">
      <alignment vertical="top"/>
      <protection locked="0"/>
    </xf>
    <xf numFmtId="0" fontId="12" fillId="3" borderId="3" xfId="2" quotePrefix="1" applyFont="1" applyFill="1" applyBorder="1" applyAlignment="1" applyProtection="1">
      <alignment horizontal="center" vertical="top"/>
      <protection locked="0"/>
    </xf>
    <xf numFmtId="0" fontId="12" fillId="3" borderId="3" xfId="2" applyFont="1" applyFill="1" applyBorder="1" applyAlignment="1" applyProtection="1">
      <alignment vertical="top"/>
      <protection locked="0"/>
    </xf>
    <xf numFmtId="0" fontId="12" fillId="3" borderId="13" xfId="2" applyFont="1" applyFill="1" applyBorder="1" applyAlignment="1" applyProtection="1">
      <alignment vertical="top"/>
      <protection locked="0"/>
    </xf>
    <xf numFmtId="0" fontId="12" fillId="4" borderId="0" xfId="2" applyFont="1" applyFill="1" applyBorder="1" applyAlignment="1" applyProtection="1">
      <alignment vertical="top"/>
      <protection locked="0"/>
    </xf>
    <xf numFmtId="9" fontId="13" fillId="4" borderId="0" xfId="2" applyNumberFormat="1" applyFont="1" applyFill="1" applyBorder="1" applyAlignment="1" applyProtection="1">
      <alignment horizontal="center"/>
      <protection locked="0"/>
    </xf>
    <xf numFmtId="38" fontId="15" fillId="4" borderId="0" xfId="2" quotePrefix="1" applyNumberFormat="1" applyFont="1" applyFill="1" applyBorder="1" applyAlignment="1" applyProtection="1">
      <alignment horizontal="right"/>
      <protection locked="0"/>
    </xf>
    <xf numFmtId="38" fontId="12" fillId="4" borderId="0" xfId="2" applyNumberFormat="1" applyFont="1" applyFill="1" applyBorder="1" applyProtection="1">
      <protection locked="0"/>
    </xf>
    <xf numFmtId="9" fontId="13" fillId="4" borderId="0" xfId="2" applyNumberFormat="1" applyFont="1" applyFill="1" applyBorder="1" applyProtection="1">
      <protection locked="0"/>
    </xf>
    <xf numFmtId="38" fontId="15" fillId="6" borderId="0" xfId="2" quotePrefix="1" applyNumberFormat="1" applyFont="1" applyFill="1" applyBorder="1" applyAlignment="1" applyProtection="1">
      <alignment horizontal="left"/>
      <protection locked="0"/>
    </xf>
    <xf numFmtId="9" fontId="12" fillId="6" borderId="0" xfId="3" applyFont="1" applyFill="1" applyBorder="1" applyAlignment="1" applyProtection="1">
      <alignment horizontal="center"/>
      <protection locked="0"/>
    </xf>
    <xf numFmtId="9" fontId="12" fillId="6" borderId="0" xfId="3" applyFont="1" applyFill="1" applyBorder="1" applyProtection="1">
      <protection locked="0"/>
    </xf>
    <xf numFmtId="38" fontId="12" fillId="2" borderId="0" xfId="2" applyNumberFormat="1" applyFont="1" applyFill="1" applyBorder="1" applyProtection="1">
      <protection locked="0"/>
    </xf>
    <xf numFmtId="38" fontId="12" fillId="2" borderId="0" xfId="2" applyNumberFormat="1" applyFont="1" applyFill="1" applyBorder="1" applyAlignment="1" applyProtection="1">
      <alignment horizontal="center"/>
      <protection locked="0"/>
    </xf>
    <xf numFmtId="182" fontId="12" fillId="2" borderId="0" xfId="2" applyNumberFormat="1" applyFont="1" applyFill="1" applyBorder="1" applyProtection="1">
      <protection locked="0"/>
    </xf>
    <xf numFmtId="41" fontId="12" fillId="2" borderId="0" xfId="2" applyNumberFormat="1" applyFont="1" applyFill="1" applyBorder="1" applyProtection="1">
      <protection locked="0"/>
    </xf>
    <xf numFmtId="180" fontId="13" fillId="2" borderId="0" xfId="1883" applyNumberFormat="1" applyFont="1" applyFill="1" applyBorder="1" applyAlignment="1" applyProtection="1">
      <alignment horizontal="right"/>
      <protection locked="0"/>
    </xf>
    <xf numFmtId="37" fontId="13" fillId="2" borderId="0" xfId="2" applyNumberFormat="1" applyFont="1" applyFill="1" applyBorder="1" applyAlignment="1" applyProtection="1">
      <alignment horizontal="right"/>
      <protection locked="0"/>
    </xf>
    <xf numFmtId="0" fontId="13" fillId="2" borderId="0" xfId="2" applyFont="1" applyFill="1" applyBorder="1" applyAlignment="1" applyProtection="1">
      <alignment horizontal="left"/>
      <protection locked="0"/>
    </xf>
    <xf numFmtId="181" fontId="12" fillId="2" borderId="0" xfId="2" applyNumberFormat="1" applyFont="1" applyFill="1" applyBorder="1" applyProtection="1">
      <protection locked="0"/>
    </xf>
    <xf numFmtId="37" fontId="13" fillId="2" borderId="0" xfId="2" applyNumberFormat="1" applyFont="1" applyFill="1" applyBorder="1" applyProtection="1">
      <protection locked="0"/>
    </xf>
    <xf numFmtId="9" fontId="13" fillId="2" borderId="0" xfId="0" applyNumberFormat="1" applyFont="1" applyFill="1" applyBorder="1" applyAlignment="1" applyProtection="1">
      <alignment horizontal="center"/>
      <protection locked="0"/>
    </xf>
    <xf numFmtId="37" fontId="13" fillId="2" borderId="51" xfId="2" applyNumberFormat="1" applyFont="1" applyFill="1" applyBorder="1" applyProtection="1">
      <protection locked="0"/>
    </xf>
    <xf numFmtId="38" fontId="15" fillId="2" borderId="0" xfId="1" applyNumberFormat="1" applyFont="1" applyFill="1" applyBorder="1" applyAlignment="1" applyProtection="1">
      <alignment horizontal="left"/>
      <protection locked="0"/>
    </xf>
    <xf numFmtId="38" fontId="13" fillId="2" borderId="0" xfId="1" applyNumberFormat="1" applyFont="1" applyFill="1" applyBorder="1" applyAlignment="1" applyProtection="1">
      <alignment horizontal="left"/>
      <protection locked="0"/>
    </xf>
    <xf numFmtId="9" fontId="13" fillId="2" borderId="1" xfId="0" applyNumberFormat="1" applyFont="1" applyFill="1" applyBorder="1" applyAlignment="1" applyProtection="1">
      <alignment horizontal="center"/>
      <protection locked="0"/>
    </xf>
    <xf numFmtId="9" fontId="13" fillId="51" borderId="52" xfId="3" applyFont="1" applyFill="1" applyBorder="1" applyProtection="1">
      <protection locked="0"/>
    </xf>
    <xf numFmtId="0" fontId="24" fillId="2" borderId="0" xfId="2" applyFont="1" applyFill="1" applyBorder="1" applyAlignment="1" applyProtection="1">
      <alignment horizontal="right"/>
      <protection locked="0"/>
    </xf>
    <xf numFmtId="3" fontId="13" fillId="2" borderId="0" xfId="2" applyNumberFormat="1" applyFont="1" applyFill="1" applyBorder="1" applyProtection="1">
      <protection locked="0"/>
    </xf>
    <xf numFmtId="9" fontId="16" fillId="5" borderId="0" xfId="2" quotePrefix="1" applyNumberFormat="1" applyFont="1" applyFill="1" applyBorder="1" applyAlignment="1" applyProtection="1">
      <alignment horizontal="center"/>
      <protection locked="0"/>
    </xf>
    <xf numFmtId="38" fontId="16" fillId="5" borderId="0" xfId="2" quotePrefix="1" applyNumberFormat="1" applyFont="1" applyFill="1" applyBorder="1" applyAlignment="1" applyProtection="1">
      <alignment horizontal="left"/>
      <protection locked="0"/>
    </xf>
    <xf numFmtId="37" fontId="12" fillId="5" borderId="2" xfId="2" applyNumberFormat="1" applyFont="1" applyFill="1" applyBorder="1" applyProtection="1">
      <protection locked="0"/>
    </xf>
    <xf numFmtId="37" fontId="19" fillId="5" borderId="0" xfId="2" applyNumberFormat="1" applyFont="1" applyFill="1" applyBorder="1" applyProtection="1">
      <protection locked="0"/>
    </xf>
    <xf numFmtId="37" fontId="12" fillId="5" borderId="0" xfId="2" applyNumberFormat="1" applyFont="1" applyFill="1" applyBorder="1" applyProtection="1">
      <protection locked="0"/>
    </xf>
    <xf numFmtId="3" fontId="13" fillId="5" borderId="0" xfId="2" applyNumberFormat="1" applyFont="1" applyFill="1" applyBorder="1" applyProtection="1">
      <protection locked="0"/>
    </xf>
    <xf numFmtId="37" fontId="12" fillId="2" borderId="0" xfId="2" applyNumberFormat="1" applyFont="1" applyFill="1" applyBorder="1" applyProtection="1">
      <protection locked="0"/>
    </xf>
    <xf numFmtId="0" fontId="13" fillId="2" borderId="0" xfId="2" quotePrefix="1" applyFont="1" applyFill="1" applyBorder="1" applyAlignment="1" applyProtection="1">
      <alignment horizontal="left"/>
      <protection locked="0"/>
    </xf>
    <xf numFmtId="38" fontId="13" fillId="2" borderId="0" xfId="1" quotePrefix="1" applyNumberFormat="1" applyFont="1" applyFill="1" applyBorder="1" applyAlignment="1" applyProtection="1">
      <alignment horizontal="left"/>
      <protection locked="0"/>
    </xf>
    <xf numFmtId="180" fontId="13" fillId="2" borderId="0" xfId="74" applyNumberFormat="1" applyFont="1" applyFill="1" applyBorder="1" applyAlignment="1" applyProtection="1">
      <alignment horizontal="right"/>
      <protection locked="0"/>
    </xf>
    <xf numFmtId="0" fontId="12" fillId="0" borderId="0" xfId="0" applyFont="1"/>
    <xf numFmtId="0" fontId="93" fillId="0" borderId="0" xfId="0" quotePrefix="1" applyFont="1" applyAlignment="1">
      <alignment horizontal="left"/>
    </xf>
    <xf numFmtId="9" fontId="21" fillId="2" borderId="0" xfId="0" applyNumberFormat="1" applyFont="1" applyFill="1" applyBorder="1" applyAlignment="1" applyProtection="1">
      <alignment horizontal="left"/>
      <protection locked="0"/>
    </xf>
    <xf numFmtId="0" fontId="15" fillId="0" borderId="46" xfId="2" quotePrefix="1" applyFont="1" applyFill="1" applyBorder="1" applyAlignment="1" applyProtection="1">
      <alignment horizontal="left"/>
      <protection locked="0"/>
    </xf>
    <xf numFmtId="0" fontId="0" fillId="0" borderId="0" xfId="0" applyAlignment="1">
      <alignment horizontal="left"/>
    </xf>
    <xf numFmtId="0" fontId="13" fillId="0" borderId="0" xfId="0" quotePrefix="1" applyFont="1" applyAlignment="1">
      <alignment horizontal="left"/>
    </xf>
    <xf numFmtId="0" fontId="18" fillId="4" borderId="4" xfId="2" quotePrefix="1" applyFont="1" applyFill="1" applyBorder="1" applyAlignment="1" applyProtection="1">
      <alignment horizontal="left"/>
      <protection locked="0"/>
    </xf>
    <xf numFmtId="0" fontId="1" fillId="0" borderId="0" xfId="1888"/>
    <xf numFmtId="0" fontId="26" fillId="59" borderId="62" xfId="1888" applyFont="1" applyFill="1" applyBorder="1" applyAlignment="1">
      <alignment horizontal="center" vertical="center" wrapText="1"/>
    </xf>
    <xf numFmtId="0" fontId="1" fillId="60" borderId="62" xfId="1888" applyFill="1" applyBorder="1" applyAlignment="1">
      <alignment vertical="center" wrapText="1"/>
    </xf>
    <xf numFmtId="3" fontId="1" fillId="60" borderId="62" xfId="1888" applyNumberFormat="1" applyFill="1" applyBorder="1" applyAlignment="1">
      <alignment horizontal="right" vertical="center" wrapText="1"/>
    </xf>
    <xf numFmtId="0" fontId="1" fillId="60" borderId="62" xfId="1888" applyFill="1" applyBorder="1" applyAlignment="1">
      <alignment horizontal="right" vertical="center" wrapText="1"/>
    </xf>
    <xf numFmtId="0" fontId="26" fillId="0" borderId="62" xfId="1888" applyFont="1" applyBorder="1" applyAlignment="1">
      <alignment horizontal="left"/>
    </xf>
    <xf numFmtId="0" fontId="26" fillId="0" borderId="62" xfId="1888" applyFont="1" applyBorder="1" applyAlignment="1">
      <alignment horizontal="right"/>
    </xf>
    <xf numFmtId="0" fontId="1" fillId="0" borderId="62" xfId="1888" applyBorder="1" applyAlignment="1">
      <alignment horizontal="left"/>
    </xf>
    <xf numFmtId="3" fontId="1" fillId="0" borderId="62" xfId="1888" applyNumberFormat="1" applyBorder="1" applyAlignment="1">
      <alignment horizontal="right"/>
    </xf>
    <xf numFmtId="4" fontId="1" fillId="0" borderId="62" xfId="1888" applyNumberFormat="1" applyBorder="1" applyAlignment="1">
      <alignment horizontal="right"/>
    </xf>
    <xf numFmtId="0" fontId="1" fillId="0" borderId="62" xfId="1888" applyBorder="1" applyAlignment="1">
      <alignment horizontal="right"/>
    </xf>
    <xf numFmtId="180" fontId="12" fillId="51" borderId="0" xfId="1883" applyNumberFormat="1" applyFont="1" applyFill="1" applyAlignment="1" applyProtection="1">
      <alignment horizontal="left"/>
    </xf>
    <xf numFmtId="0" fontId="103" fillId="58" borderId="0" xfId="171" applyFont="1" applyFill="1" applyAlignment="1">
      <alignment horizontal="center" vertical="center"/>
    </xf>
    <xf numFmtId="0" fontId="13" fillId="0" borderId="0" xfId="171"/>
    <xf numFmtId="0" fontId="103" fillId="58" borderId="0" xfId="171" applyFont="1" applyFill="1" applyAlignment="1">
      <alignment horizontal="left" vertical="center"/>
    </xf>
    <xf numFmtId="0" fontId="79" fillId="60" borderId="0" xfId="171" applyFont="1" applyFill="1" applyAlignment="1">
      <alignment horizontal="left" vertical="center"/>
    </xf>
    <xf numFmtId="0" fontId="103" fillId="60" borderId="0" xfId="171" applyFont="1" applyFill="1" applyAlignment="1">
      <alignment horizontal="center" vertical="center"/>
    </xf>
    <xf numFmtId="0" fontId="13" fillId="0" borderId="0" xfId="171"/>
    <xf numFmtId="0" fontId="79" fillId="60" borderId="0" xfId="171" applyNumberFormat="1" applyFont="1" applyFill="1" applyAlignment="1">
      <alignment horizontal="left" vertical="center"/>
    </xf>
    <xf numFmtId="3" fontId="79" fillId="60" borderId="0" xfId="171" applyNumberFormat="1" applyFont="1" applyFill="1" applyAlignment="1">
      <alignment horizontal="left" vertical="center"/>
    </xf>
    <xf numFmtId="0" fontId="99" fillId="50" borderId="0" xfId="171" applyFont="1" applyFill="1" applyAlignment="1">
      <alignment horizontal="left"/>
    </xf>
    <xf numFmtId="9" fontId="99" fillId="3" borderId="0" xfId="171" applyNumberFormat="1" applyFont="1" applyFill="1" applyAlignment="1">
      <alignment horizontal="left"/>
    </xf>
    <xf numFmtId="0" fontId="13" fillId="0" borderId="0" xfId="171" applyAlignment="1">
      <alignment wrapText="1"/>
    </xf>
    <xf numFmtId="0" fontId="13" fillId="0" borderId="0" xfId="171" applyAlignment="1">
      <alignment vertical="top" wrapText="1"/>
    </xf>
    <xf numFmtId="0" fontId="13" fillId="0" borderId="13" xfId="171" applyBorder="1"/>
    <xf numFmtId="0" fontId="13" fillId="5" borderId="0" xfId="171" applyFill="1"/>
    <xf numFmtId="0" fontId="13" fillId="0" borderId="0" xfId="171"/>
    <xf numFmtId="0" fontId="13" fillId="0" borderId="0" xfId="171"/>
    <xf numFmtId="0" fontId="13" fillId="0" borderId="52" xfId="171" applyBorder="1" applyAlignment="1">
      <alignment wrapText="1"/>
    </xf>
    <xf numFmtId="0" fontId="13" fillId="50" borderId="52" xfId="171" applyFill="1" applyBorder="1"/>
    <xf numFmtId="0" fontId="13" fillId="50" borderId="11" xfId="171" applyFill="1" applyBorder="1"/>
    <xf numFmtId="0" fontId="0" fillId="0" borderId="63" xfId="0" applyFill="1" applyBorder="1"/>
    <xf numFmtId="0" fontId="100" fillId="0" borderId="64" xfId="0" applyFont="1" applyFill="1" applyBorder="1" applyAlignment="1">
      <alignment horizontal="center"/>
    </xf>
    <xf numFmtId="0" fontId="100" fillId="0" borderId="65" xfId="0" applyFont="1" applyFill="1" applyBorder="1" applyAlignment="1">
      <alignment horizontal="center"/>
    </xf>
    <xf numFmtId="0" fontId="13" fillId="0" borderId="52" xfId="171" quotePrefix="1" applyBorder="1" applyAlignment="1">
      <alignment horizontal="left" wrapText="1"/>
    </xf>
    <xf numFmtId="0" fontId="13" fillId="0" borderId="52" xfId="171" quotePrefix="1" applyBorder="1" applyAlignment="1">
      <alignment horizontal="left" vertical="top" wrapText="1"/>
    </xf>
    <xf numFmtId="0" fontId="13" fillId="51" borderId="0" xfId="171" applyFill="1" applyAlignment="1">
      <alignment vertical="top"/>
    </xf>
    <xf numFmtId="0" fontId="0" fillId="0" borderId="0" xfId="0" applyBorder="1"/>
    <xf numFmtId="0" fontId="13" fillId="0" borderId="0" xfId="171" applyBorder="1"/>
    <xf numFmtId="0" fontId="13" fillId="0" borderId="66" xfId="0" applyFont="1" applyFill="1" applyBorder="1" applyAlignment="1">
      <alignment wrapText="1"/>
    </xf>
    <xf numFmtId="9" fontId="101" fillId="50" borderId="13" xfId="0" applyNumberFormat="1" applyFont="1" applyFill="1" applyBorder="1"/>
    <xf numFmtId="9" fontId="101" fillId="50" borderId="67" xfId="0" applyNumberFormat="1" applyFont="1" applyFill="1" applyBorder="1"/>
    <xf numFmtId="0" fontId="13" fillId="0" borderId="52" xfId="171" applyBorder="1" applyAlignment="1">
      <alignment vertical="top" wrapText="1"/>
    </xf>
    <xf numFmtId="0" fontId="12" fillId="57" borderId="0" xfId="171" applyFont="1" applyFill="1" applyBorder="1" applyAlignment="1">
      <alignment horizontal="center" wrapText="1"/>
    </xf>
    <xf numFmtId="0" fontId="13" fillId="50" borderId="0" xfId="171" applyFill="1" applyAlignment="1">
      <alignment horizontal="center"/>
    </xf>
    <xf numFmtId="0" fontId="13" fillId="50" borderId="52" xfId="171" applyFill="1" applyBorder="1" applyAlignment="1">
      <alignment horizontal="left" vertical="top"/>
    </xf>
    <xf numFmtId="0" fontId="13" fillId="50" borderId="52" xfId="171" applyFill="1" applyBorder="1" applyAlignment="1">
      <alignment horizontal="left" vertical="top" wrapText="1"/>
    </xf>
    <xf numFmtId="0" fontId="13" fillId="0" borderId="52" xfId="171" applyBorder="1" applyAlignment="1">
      <alignment horizontal="left" vertical="center" wrapText="1"/>
    </xf>
    <xf numFmtId="0" fontId="13" fillId="0" borderId="32" xfId="171" quotePrefix="1" applyBorder="1" applyAlignment="1">
      <alignment horizontal="left" vertical="center"/>
    </xf>
    <xf numFmtId="0" fontId="13" fillId="0" borderId="11" xfId="171" quotePrefix="1" applyBorder="1" applyAlignment="1">
      <alignment horizontal="left" vertical="center"/>
    </xf>
    <xf numFmtId="0" fontId="13" fillId="0" borderId="32" xfId="0" quotePrefix="1" applyFont="1" applyFill="1" applyBorder="1" applyAlignment="1">
      <alignment horizontal="left" vertical="center" wrapText="1"/>
    </xf>
    <xf numFmtId="0" fontId="13" fillId="0" borderId="11" xfId="0" quotePrefix="1" applyFont="1" applyFill="1" applyBorder="1" applyAlignment="1">
      <alignment horizontal="left" vertical="center" wrapText="1"/>
    </xf>
    <xf numFmtId="9" fontId="99" fillId="2" borderId="0" xfId="171" applyNumberFormat="1" applyFont="1" applyFill="1" applyAlignment="1" applyProtection="1">
      <alignment horizontal="left"/>
      <protection locked="0"/>
    </xf>
    <xf numFmtId="0" fontId="12" fillId="57" borderId="13" xfId="0" applyFont="1" applyFill="1" applyBorder="1" applyAlignment="1">
      <alignment horizontal="center"/>
    </xf>
    <xf numFmtId="0" fontId="13" fillId="51" borderId="0" xfId="171" applyFill="1" applyAlignment="1">
      <alignment horizontal="left" vertical="top" wrapText="1"/>
    </xf>
    <xf numFmtId="0" fontId="13" fillId="50" borderId="52" xfId="171" applyFill="1" applyBorder="1" applyAlignment="1">
      <alignment horizontal="center" wrapText="1"/>
    </xf>
    <xf numFmtId="0" fontId="24" fillId="3" borderId="0" xfId="2" applyFont="1" applyFill="1" applyBorder="1" applyAlignment="1" applyProtection="1">
      <alignment horizontal="left" vertical="top" wrapText="1"/>
      <protection locked="0"/>
    </xf>
    <xf numFmtId="9" fontId="21" fillId="2" borderId="0" xfId="0" applyNumberFormat="1" applyFont="1" applyFill="1" applyBorder="1" applyAlignment="1" applyProtection="1">
      <alignment horizontal="left"/>
      <protection locked="0"/>
    </xf>
    <xf numFmtId="0" fontId="22" fillId="50" borderId="5" xfId="2" applyFont="1" applyFill="1" applyBorder="1" applyAlignment="1" applyProtection="1">
      <alignment horizontal="center"/>
      <protection locked="0"/>
    </xf>
    <xf numFmtId="0" fontId="22" fillId="50" borderId="6" xfId="2" applyFont="1" applyFill="1" applyBorder="1" applyAlignment="1" applyProtection="1">
      <alignment horizontal="center"/>
      <protection locked="0"/>
    </xf>
    <xf numFmtId="0" fontId="22" fillId="50" borderId="44" xfId="2" applyFont="1" applyFill="1" applyBorder="1" applyAlignment="1" applyProtection="1">
      <alignment horizontal="center"/>
      <protection locked="0"/>
    </xf>
    <xf numFmtId="0" fontId="22" fillId="50" borderId="7" xfId="2" applyFont="1" applyFill="1" applyBorder="1" applyAlignment="1" applyProtection="1">
      <alignment horizontal="center"/>
      <protection locked="0"/>
    </xf>
    <xf numFmtId="0" fontId="13" fillId="3" borderId="0" xfId="2" applyFont="1" applyFill="1" applyBorder="1" applyAlignment="1" applyProtection="1">
      <alignment horizontal="left" vertical="top" wrapText="1"/>
      <protection locked="0"/>
    </xf>
    <xf numFmtId="43" fontId="93" fillId="55" borderId="14" xfId="74" applyFont="1" applyFill="1" applyBorder="1" applyAlignment="1">
      <alignment horizontal="center"/>
    </xf>
    <xf numFmtId="43" fontId="93" fillId="55" borderId="15" xfId="74" applyFont="1" applyFill="1" applyBorder="1" applyAlignment="1">
      <alignment horizontal="center"/>
    </xf>
    <xf numFmtId="43" fontId="93" fillId="56" borderId="54" xfId="74" applyFont="1" applyFill="1" applyBorder="1" applyAlignment="1">
      <alignment horizontal="center"/>
    </xf>
    <xf numFmtId="43" fontId="93" fillId="56" borderId="15" xfId="74" applyFont="1" applyFill="1" applyBorder="1" applyAlignment="1">
      <alignment horizontal="center"/>
    </xf>
    <xf numFmtId="43" fontId="93" fillId="56" borderId="16" xfId="74" applyFont="1" applyFill="1" applyBorder="1" applyAlignment="1">
      <alignment horizontal="center"/>
    </xf>
    <xf numFmtId="0" fontId="12" fillId="0" borderId="8" xfId="0" quotePrefix="1" applyFont="1" applyBorder="1" applyAlignment="1">
      <alignment horizontal="center"/>
    </xf>
    <xf numFmtId="0" fontId="12" fillId="0" borderId="56" xfId="0" applyFont="1" applyBorder="1" applyAlignment="1">
      <alignment horizontal="center"/>
    </xf>
    <xf numFmtId="0" fontId="12" fillId="0" borderId="9" xfId="0" applyFont="1" applyBorder="1" applyAlignment="1">
      <alignment horizontal="center"/>
    </xf>
    <xf numFmtId="0" fontId="13" fillId="0" borderId="52" xfId="0" applyFont="1" applyBorder="1" applyAlignment="1">
      <alignment horizontal="left"/>
    </xf>
    <xf numFmtId="0" fontId="13" fillId="0" borderId="47" xfId="0" applyFont="1" applyBorder="1" applyAlignment="1">
      <alignment horizontal="left"/>
    </xf>
    <xf numFmtId="0" fontId="12" fillId="0" borderId="18" xfId="0" applyFont="1" applyBorder="1" applyAlignment="1">
      <alignment horizontal="center"/>
    </xf>
    <xf numFmtId="0" fontId="12" fillId="0" borderId="19" xfId="0" applyFont="1" applyBorder="1" applyAlignment="1">
      <alignment horizontal="center"/>
    </xf>
    <xf numFmtId="0" fontId="12" fillId="0" borderId="20" xfId="0" applyFont="1" applyBorder="1" applyAlignment="1">
      <alignment horizontal="center"/>
    </xf>
    <xf numFmtId="0" fontId="13" fillId="0" borderId="57" xfId="0" applyFont="1" applyBorder="1" applyAlignment="1">
      <alignment horizontal="left"/>
    </xf>
    <xf numFmtId="0" fontId="13" fillId="0" borderId="58" xfId="0" applyFont="1" applyBorder="1" applyAlignment="1">
      <alignment horizontal="left"/>
    </xf>
    <xf numFmtId="0" fontId="13" fillId="0" borderId="59" xfId="0" applyFont="1" applyBorder="1" applyAlignment="1">
      <alignment horizontal="left"/>
    </xf>
    <xf numFmtId="0" fontId="13" fillId="0" borderId="60" xfId="0" applyFont="1" applyBorder="1" applyAlignment="1">
      <alignment horizontal="left"/>
    </xf>
    <xf numFmtId="0" fontId="0" fillId="0" borderId="13" xfId="0" applyBorder="1" applyAlignment="1">
      <alignment horizontal="center"/>
    </xf>
    <xf numFmtId="0" fontId="12" fillId="0" borderId="8" xfId="0" applyFont="1" applyBorder="1" applyAlignment="1">
      <alignment horizontal="center"/>
    </xf>
    <xf numFmtId="0" fontId="13" fillId="0" borderId="14" xfId="0" quotePrefix="1" applyFont="1" applyBorder="1" applyAlignment="1">
      <alignment horizontal="center"/>
    </xf>
    <xf numFmtId="0" fontId="0" fillId="0" borderId="15" xfId="0" applyBorder="1" applyAlignment="1">
      <alignment horizontal="center"/>
    </xf>
    <xf numFmtId="0" fontId="0" fillId="0" borderId="55" xfId="0" applyBorder="1" applyAlignment="1">
      <alignment horizontal="center"/>
    </xf>
    <xf numFmtId="0" fontId="0" fillId="0" borderId="16" xfId="0" applyBorder="1" applyAlignment="1">
      <alignment horizontal="center"/>
    </xf>
    <xf numFmtId="0" fontId="13" fillId="0" borderId="49" xfId="0" applyFont="1" applyBorder="1" applyAlignment="1">
      <alignment horizontal="left"/>
    </xf>
    <xf numFmtId="0" fontId="13" fillId="0" borderId="50" xfId="0" applyFont="1" applyBorder="1" applyAlignment="1">
      <alignment horizontal="left"/>
    </xf>
    <xf numFmtId="0" fontId="12" fillId="0" borderId="18" xfId="0" quotePrefix="1" applyFont="1" applyBorder="1" applyAlignment="1">
      <alignment horizontal="center"/>
    </xf>
    <xf numFmtId="0" fontId="13" fillId="0" borderId="11" xfId="0" applyFont="1" applyBorder="1" applyAlignment="1">
      <alignment horizontal="left"/>
    </xf>
    <xf numFmtId="0" fontId="13" fillId="0" borderId="12" xfId="0" applyFont="1" applyBorder="1" applyAlignment="1">
      <alignment horizontal="left"/>
    </xf>
    <xf numFmtId="0" fontId="13" fillId="0" borderId="45" xfId="0" applyFont="1" applyBorder="1" applyAlignment="1">
      <alignment horizontal="left"/>
    </xf>
    <xf numFmtId="0" fontId="102" fillId="57" borderId="0" xfId="1888" applyFont="1" applyFill="1" applyAlignment="1">
      <alignment horizontal="center"/>
    </xf>
    <xf numFmtId="0" fontId="1" fillId="0" borderId="61" xfId="1888" applyBorder="1" applyAlignment="1">
      <alignment horizontal="center" wrapText="1"/>
    </xf>
    <xf numFmtId="0" fontId="103" fillId="60" borderId="0" xfId="171" applyFont="1" applyFill="1" applyAlignment="1">
      <alignment horizontal="center" vertical="center"/>
    </xf>
    <xf numFmtId="0" fontId="13" fillId="0" borderId="0" xfId="171"/>
  </cellXfs>
  <cellStyles count="1889">
    <cellStyle name="0" xfId="622"/>
    <cellStyle name="0_Cash Flow - UNCH Revised" xfId="680"/>
    <cellStyle name="0_Copy of Gross Revenue by Payor Group Graph August 2008" xfId="681"/>
    <cellStyle name="0_Copy of Gross Revenue by Payor Group Graph August 2008_Presentation Data 1108" xfId="682"/>
    <cellStyle name="0_Copy of Gross Revenue by Payor Group Graph September 2008" xfId="683"/>
    <cellStyle name="0_Copy of Gross Revenue by Payor Group Graph September 2008_Presentation Data 1108" xfId="684"/>
    <cellStyle name="0_FIN0109" xfId="685"/>
    <cellStyle name="0_Gross and Net Revenue by Payor Group Graphs FY08" xfId="686"/>
    <cellStyle name="0_Gross and Net Revenue by Payor Group Graphs FY08_Presentation Data 1108" xfId="687"/>
    <cellStyle name="0_Gross and Net Revenue by Payor Group Graphs May08 ver2" xfId="688"/>
    <cellStyle name="0_Gross and Net Revenue by Payor Group Graphs May08 ver2_Presentation Data 1108" xfId="689"/>
    <cellStyle name="0_UNCH Gross and Net Revenue by Payor Group May 2008" xfId="690"/>
    <cellStyle name="0_UNCH Gross and Net Revenue by Payor Group May 2008_Presentation Data 1108" xfId="691"/>
    <cellStyle name="20% - Accent1 2" xfId="692"/>
    <cellStyle name="20% - Accent1 2 2" xfId="693"/>
    <cellStyle name="20% - Accent1 2 3" xfId="694"/>
    <cellStyle name="20% - Accent1 3 2" xfId="695"/>
    <cellStyle name="20% - Accent1 3 3" xfId="696"/>
    <cellStyle name="20% - Accent2 2" xfId="697"/>
    <cellStyle name="20% - Accent2 2 2" xfId="698"/>
    <cellStyle name="20% - Accent2 2 3" xfId="699"/>
    <cellStyle name="20% - Accent2 3 2" xfId="700"/>
    <cellStyle name="20% - Accent2 3 3" xfId="701"/>
    <cellStyle name="20% - Accent3 2" xfId="702"/>
    <cellStyle name="20% - Accent3 2 2" xfId="703"/>
    <cellStyle name="20% - Accent3 2 3" xfId="704"/>
    <cellStyle name="20% - Accent3 3 2" xfId="705"/>
    <cellStyle name="20% - Accent3 3 3" xfId="706"/>
    <cellStyle name="20% - Accent4 2" xfId="707"/>
    <cellStyle name="20% - Accent4 2 2" xfId="708"/>
    <cellStyle name="20% - Accent4 2 3" xfId="709"/>
    <cellStyle name="20% - Accent4 3 2" xfId="710"/>
    <cellStyle name="20% - Accent4 3 3" xfId="711"/>
    <cellStyle name="20% - Accent5 2" xfId="712"/>
    <cellStyle name="20% - Accent5 2 2" xfId="713"/>
    <cellStyle name="20% - Accent5 2 3" xfId="714"/>
    <cellStyle name="20% - Accent5 3 2" xfId="715"/>
    <cellStyle name="20% - Accent5 3 3" xfId="716"/>
    <cellStyle name="20% - Accent6 2 2" xfId="717"/>
    <cellStyle name="20% - Accent6 2 3" xfId="718"/>
    <cellStyle name="20% - Accent6 3 2" xfId="719"/>
    <cellStyle name="20% - Accent6 3 3" xfId="720"/>
    <cellStyle name="40% - Accent1 2 2" xfId="721"/>
    <cellStyle name="40% - Accent1 2 3" xfId="722"/>
    <cellStyle name="40% - Accent1 3 2" xfId="723"/>
    <cellStyle name="40% - Accent1 3 3" xfId="724"/>
    <cellStyle name="40% - Accent2 2 2" xfId="725"/>
    <cellStyle name="40% - Accent2 2 3" xfId="726"/>
    <cellStyle name="40% - Accent2 3 2" xfId="727"/>
    <cellStyle name="40% - Accent2 3 3" xfId="728"/>
    <cellStyle name="40% - Accent3 2" xfId="729"/>
    <cellStyle name="40% - Accent3 2 2" xfId="730"/>
    <cellStyle name="40% - Accent3 2 3" xfId="731"/>
    <cellStyle name="40% - Accent3 3 2" xfId="732"/>
    <cellStyle name="40% - Accent3 3 3" xfId="733"/>
    <cellStyle name="40% - Accent4 2" xfId="734"/>
    <cellStyle name="40% - Accent4 2 2" xfId="735"/>
    <cellStyle name="40% - Accent4 2 3" xfId="736"/>
    <cellStyle name="40% - Accent4 3 2" xfId="737"/>
    <cellStyle name="40% - Accent4 3 3" xfId="738"/>
    <cellStyle name="40% - Accent5 2 2" xfId="739"/>
    <cellStyle name="40% - Accent5 2 3" xfId="740"/>
    <cellStyle name="40% - Accent5 3 2" xfId="741"/>
    <cellStyle name="40% - Accent5 3 3" xfId="742"/>
    <cellStyle name="40% - Accent6 2" xfId="743"/>
    <cellStyle name="40% - Accent6 2 2" xfId="744"/>
    <cellStyle name="40% - Accent6 2 3" xfId="745"/>
    <cellStyle name="40% - Accent6 3 2" xfId="746"/>
    <cellStyle name="40% - Accent6 3 3" xfId="747"/>
    <cellStyle name="60% - Accent1 2" xfId="748"/>
    <cellStyle name="60% - Accent1 2 2" xfId="749"/>
    <cellStyle name="60% - Accent1 2 3" xfId="750"/>
    <cellStyle name="60% - Accent1 3 2" xfId="751"/>
    <cellStyle name="60% - Accent1 3 3" xfId="752"/>
    <cellStyle name="60% - Accent2 2 2" xfId="753"/>
    <cellStyle name="60% - Accent2 2 3" xfId="754"/>
    <cellStyle name="60% - Accent2 3 2" xfId="755"/>
    <cellStyle name="60% - Accent2 3 3" xfId="756"/>
    <cellStyle name="60% - Accent3 2" xfId="757"/>
    <cellStyle name="60% - Accent3 2 2" xfId="758"/>
    <cellStyle name="60% - Accent3 2 3" xfId="759"/>
    <cellStyle name="60% - Accent3 3 2" xfId="760"/>
    <cellStyle name="60% - Accent3 3 3" xfId="761"/>
    <cellStyle name="60% - Accent4 2" xfId="762"/>
    <cellStyle name="60% - Accent4 2 2" xfId="763"/>
    <cellStyle name="60% - Accent4 2 3" xfId="764"/>
    <cellStyle name="60% - Accent4 3 2" xfId="765"/>
    <cellStyle name="60% - Accent4 3 3" xfId="766"/>
    <cellStyle name="60% - Accent5 2" xfId="767"/>
    <cellStyle name="60% - Accent5 2 2" xfId="768"/>
    <cellStyle name="60% - Accent5 2 3" xfId="769"/>
    <cellStyle name="60% - Accent5 3 2" xfId="770"/>
    <cellStyle name="60% - Accent5 3 3" xfId="771"/>
    <cellStyle name="60% - Accent6 2" xfId="772"/>
    <cellStyle name="60% - Accent6 2 2" xfId="773"/>
    <cellStyle name="60% - Accent6 2 3" xfId="774"/>
    <cellStyle name="60% - Accent6 3 2" xfId="775"/>
    <cellStyle name="60% - Accent6 3 3" xfId="776"/>
    <cellStyle name="Accent1 2" xfId="777"/>
    <cellStyle name="Accent1 2 2" xfId="778"/>
    <cellStyle name="Accent1 2 3" xfId="779"/>
    <cellStyle name="Accent1 3 2" xfId="780"/>
    <cellStyle name="Accent1 3 3" xfId="781"/>
    <cellStyle name="Accent2 2 2" xfId="782"/>
    <cellStyle name="Accent2 2 3" xfId="783"/>
    <cellStyle name="Accent2 3 2" xfId="784"/>
    <cellStyle name="Accent2 3 3" xfId="785"/>
    <cellStyle name="Accent3 2 2" xfId="786"/>
    <cellStyle name="Accent3 2 3" xfId="787"/>
    <cellStyle name="Accent3 3 2" xfId="788"/>
    <cellStyle name="Accent3 3 3" xfId="789"/>
    <cellStyle name="Accent4 2" xfId="790"/>
    <cellStyle name="Accent4 2 2" xfId="791"/>
    <cellStyle name="Accent4 2 3" xfId="792"/>
    <cellStyle name="Accent4 3 2" xfId="793"/>
    <cellStyle name="Accent4 3 3" xfId="794"/>
    <cellStyle name="Accent5 2 2" xfId="795"/>
    <cellStyle name="Accent5 2 3" xfId="796"/>
    <cellStyle name="Accent5 3 2" xfId="797"/>
    <cellStyle name="Accent5 3 3" xfId="798"/>
    <cellStyle name="Accent6 2 2" xfId="799"/>
    <cellStyle name="Accent6 2 3" xfId="800"/>
    <cellStyle name="Accent6 3 2" xfId="801"/>
    <cellStyle name="Accent6 3 3" xfId="802"/>
    <cellStyle name="Accounting" xfId="67"/>
    <cellStyle name="Accounting 2" xfId="68"/>
    <cellStyle name="Accounting 3" xfId="69"/>
    <cellStyle name="Assumption" xfId="70"/>
    <cellStyle name="Bad 2 2" xfId="803"/>
    <cellStyle name="Bad 2 3" xfId="804"/>
    <cellStyle name="Bad 3 2" xfId="805"/>
    <cellStyle name="Bad 3 3" xfId="806"/>
    <cellStyle name="Border" xfId="623"/>
    <cellStyle name="Border 2" xfId="1020"/>
    <cellStyle name="Border 2 2" xfId="1042"/>
    <cellStyle name="Border 2 2 2" xfId="1128"/>
    <cellStyle name="Border 2 2 3" xfId="1171"/>
    <cellStyle name="Border 2 2 4" xfId="1216"/>
    <cellStyle name="Border 2 2 5" xfId="1280"/>
    <cellStyle name="Border 2 2 6" xfId="1344"/>
    <cellStyle name="Border 2 2 7" xfId="1408"/>
    <cellStyle name="Border 2 3" xfId="1063"/>
    <cellStyle name="Border 2 3 2" xfId="1149"/>
    <cellStyle name="Border 2 3 3" xfId="1192"/>
    <cellStyle name="Border 2 3 4" xfId="1237"/>
    <cellStyle name="Border 2 3 5" xfId="1301"/>
    <cellStyle name="Border 2 3 6" xfId="1365"/>
    <cellStyle name="Border 2 3 7" xfId="1429"/>
    <cellStyle name="Border 2 4" xfId="1106"/>
    <cellStyle name="Border 2 5" xfId="1085"/>
    <cellStyle name="Border 2 6" xfId="1258"/>
    <cellStyle name="Border 2 7" xfId="1322"/>
    <cellStyle name="Border 2 8" xfId="1386"/>
    <cellStyle name="Budget" xfId="71"/>
    <cellStyle name="Budget 2" xfId="72"/>
    <cellStyle name="Budget 3" xfId="73"/>
    <cellStyle name="Calculation 2" xfId="807"/>
    <cellStyle name="Calculation 2 2" xfId="808"/>
    <cellStyle name="Calculation 2 2 2" xfId="1021"/>
    <cellStyle name="Calculation 2 2 2 2" xfId="1043"/>
    <cellStyle name="Calculation 2 2 2 2 2" xfId="1129"/>
    <cellStyle name="Calculation 2 2 2 2 2 2" xfId="1575"/>
    <cellStyle name="Calculation 2 2 2 2 3" xfId="1172"/>
    <cellStyle name="Calculation 2 2 2 2 3 2" xfId="1616"/>
    <cellStyle name="Calculation 2 2 2 2 4" xfId="1217"/>
    <cellStyle name="Calculation 2 2 2 2 4 2" xfId="1659"/>
    <cellStyle name="Calculation 2 2 2 2 5" xfId="1281"/>
    <cellStyle name="Calculation 2 2 2 2 5 2" xfId="1720"/>
    <cellStyle name="Calculation 2 2 2 2 6" xfId="1345"/>
    <cellStyle name="Calculation 2 2 2 2 6 2" xfId="1781"/>
    <cellStyle name="Calculation 2 2 2 2 7" xfId="1409"/>
    <cellStyle name="Calculation 2 2 2 2 7 2" xfId="1842"/>
    <cellStyle name="Calculation 2 2 2 2 8" xfId="1493"/>
    <cellStyle name="Calculation 2 2 2 3" xfId="1064"/>
    <cellStyle name="Calculation 2 2 2 3 2" xfId="1150"/>
    <cellStyle name="Calculation 2 2 2 3 2 2" xfId="1595"/>
    <cellStyle name="Calculation 2 2 2 3 3" xfId="1193"/>
    <cellStyle name="Calculation 2 2 2 3 3 2" xfId="1636"/>
    <cellStyle name="Calculation 2 2 2 3 4" xfId="1238"/>
    <cellStyle name="Calculation 2 2 2 3 4 2" xfId="1679"/>
    <cellStyle name="Calculation 2 2 2 3 5" xfId="1302"/>
    <cellStyle name="Calculation 2 2 2 3 5 2" xfId="1740"/>
    <cellStyle name="Calculation 2 2 2 3 6" xfId="1366"/>
    <cellStyle name="Calculation 2 2 2 3 6 2" xfId="1801"/>
    <cellStyle name="Calculation 2 2 2 3 7" xfId="1430"/>
    <cellStyle name="Calculation 2 2 2 3 7 2" xfId="1862"/>
    <cellStyle name="Calculation 2 2 2 3 8" xfId="1513"/>
    <cellStyle name="Calculation 2 2 2 4" xfId="1107"/>
    <cellStyle name="Calculation 2 2 2 4 2" xfId="1554"/>
    <cellStyle name="Calculation 2 2 2 5" xfId="1086"/>
    <cellStyle name="Calculation 2 2 2 5 2" xfId="1534"/>
    <cellStyle name="Calculation 2 2 2 6" xfId="1259"/>
    <cellStyle name="Calculation 2 2 2 6 2" xfId="1699"/>
    <cellStyle name="Calculation 2 2 2 7" xfId="1323"/>
    <cellStyle name="Calculation 2 2 2 7 2" xfId="1760"/>
    <cellStyle name="Calculation 2 2 2 8" xfId="1387"/>
    <cellStyle name="Calculation 2 2 2 8 2" xfId="1821"/>
    <cellStyle name="Calculation 2 2 2 9" xfId="1472"/>
    <cellStyle name="Calculation 2 2 3" xfId="1452"/>
    <cellStyle name="Calculation 2 3" xfId="809"/>
    <cellStyle name="Calculation 2 3 2" xfId="1022"/>
    <cellStyle name="Calculation 2 3 2 2" xfId="1044"/>
    <cellStyle name="Calculation 2 3 2 2 2" xfId="1130"/>
    <cellStyle name="Calculation 2 3 2 2 2 2" xfId="1576"/>
    <cellStyle name="Calculation 2 3 2 2 3" xfId="1173"/>
    <cellStyle name="Calculation 2 3 2 2 3 2" xfId="1617"/>
    <cellStyle name="Calculation 2 3 2 2 4" xfId="1218"/>
    <cellStyle name="Calculation 2 3 2 2 4 2" xfId="1660"/>
    <cellStyle name="Calculation 2 3 2 2 5" xfId="1282"/>
    <cellStyle name="Calculation 2 3 2 2 5 2" xfId="1721"/>
    <cellStyle name="Calculation 2 3 2 2 6" xfId="1346"/>
    <cellStyle name="Calculation 2 3 2 2 6 2" xfId="1782"/>
    <cellStyle name="Calculation 2 3 2 2 7" xfId="1410"/>
    <cellStyle name="Calculation 2 3 2 2 7 2" xfId="1843"/>
    <cellStyle name="Calculation 2 3 2 2 8" xfId="1494"/>
    <cellStyle name="Calculation 2 3 2 3" xfId="1065"/>
    <cellStyle name="Calculation 2 3 2 3 2" xfId="1151"/>
    <cellStyle name="Calculation 2 3 2 3 2 2" xfId="1596"/>
    <cellStyle name="Calculation 2 3 2 3 3" xfId="1194"/>
    <cellStyle name="Calculation 2 3 2 3 3 2" xfId="1637"/>
    <cellStyle name="Calculation 2 3 2 3 4" xfId="1239"/>
    <cellStyle name="Calculation 2 3 2 3 4 2" xfId="1680"/>
    <cellStyle name="Calculation 2 3 2 3 5" xfId="1303"/>
    <cellStyle name="Calculation 2 3 2 3 5 2" xfId="1741"/>
    <cellStyle name="Calculation 2 3 2 3 6" xfId="1367"/>
    <cellStyle name="Calculation 2 3 2 3 6 2" xfId="1802"/>
    <cellStyle name="Calculation 2 3 2 3 7" xfId="1431"/>
    <cellStyle name="Calculation 2 3 2 3 7 2" xfId="1863"/>
    <cellStyle name="Calculation 2 3 2 3 8" xfId="1514"/>
    <cellStyle name="Calculation 2 3 2 4" xfId="1108"/>
    <cellStyle name="Calculation 2 3 2 4 2" xfId="1555"/>
    <cellStyle name="Calculation 2 3 2 5" xfId="1096"/>
    <cellStyle name="Calculation 2 3 2 5 2" xfId="1544"/>
    <cellStyle name="Calculation 2 3 2 6" xfId="1260"/>
    <cellStyle name="Calculation 2 3 2 6 2" xfId="1700"/>
    <cellStyle name="Calculation 2 3 2 7" xfId="1324"/>
    <cellStyle name="Calculation 2 3 2 7 2" xfId="1761"/>
    <cellStyle name="Calculation 2 3 2 8" xfId="1388"/>
    <cellStyle name="Calculation 2 3 2 8 2" xfId="1822"/>
    <cellStyle name="Calculation 2 3 2 9" xfId="1473"/>
    <cellStyle name="Calculation 2 3 3" xfId="1453"/>
    <cellStyle name="Calculation 3 2" xfId="810"/>
    <cellStyle name="Calculation 3 2 2" xfId="1023"/>
    <cellStyle name="Calculation 3 2 2 2" xfId="1045"/>
    <cellStyle name="Calculation 3 2 2 2 2" xfId="1131"/>
    <cellStyle name="Calculation 3 2 2 2 2 2" xfId="1577"/>
    <cellStyle name="Calculation 3 2 2 2 3" xfId="1174"/>
    <cellStyle name="Calculation 3 2 2 2 3 2" xfId="1618"/>
    <cellStyle name="Calculation 3 2 2 2 4" xfId="1219"/>
    <cellStyle name="Calculation 3 2 2 2 4 2" xfId="1661"/>
    <cellStyle name="Calculation 3 2 2 2 5" xfId="1283"/>
    <cellStyle name="Calculation 3 2 2 2 5 2" xfId="1722"/>
    <cellStyle name="Calculation 3 2 2 2 6" xfId="1347"/>
    <cellStyle name="Calculation 3 2 2 2 6 2" xfId="1783"/>
    <cellStyle name="Calculation 3 2 2 2 7" xfId="1411"/>
    <cellStyle name="Calculation 3 2 2 2 7 2" xfId="1844"/>
    <cellStyle name="Calculation 3 2 2 2 8" xfId="1495"/>
    <cellStyle name="Calculation 3 2 2 3" xfId="1066"/>
    <cellStyle name="Calculation 3 2 2 3 2" xfId="1152"/>
    <cellStyle name="Calculation 3 2 2 3 2 2" xfId="1597"/>
    <cellStyle name="Calculation 3 2 2 3 3" xfId="1195"/>
    <cellStyle name="Calculation 3 2 2 3 3 2" xfId="1638"/>
    <cellStyle name="Calculation 3 2 2 3 4" xfId="1240"/>
    <cellStyle name="Calculation 3 2 2 3 4 2" xfId="1681"/>
    <cellStyle name="Calculation 3 2 2 3 5" xfId="1304"/>
    <cellStyle name="Calculation 3 2 2 3 5 2" xfId="1742"/>
    <cellStyle name="Calculation 3 2 2 3 6" xfId="1368"/>
    <cellStyle name="Calculation 3 2 2 3 6 2" xfId="1803"/>
    <cellStyle name="Calculation 3 2 2 3 7" xfId="1432"/>
    <cellStyle name="Calculation 3 2 2 3 7 2" xfId="1864"/>
    <cellStyle name="Calculation 3 2 2 3 8" xfId="1515"/>
    <cellStyle name="Calculation 3 2 2 4" xfId="1109"/>
    <cellStyle name="Calculation 3 2 2 4 2" xfId="1556"/>
    <cellStyle name="Calculation 3 2 2 5" xfId="1098"/>
    <cellStyle name="Calculation 3 2 2 5 2" xfId="1546"/>
    <cellStyle name="Calculation 3 2 2 6" xfId="1261"/>
    <cellStyle name="Calculation 3 2 2 6 2" xfId="1701"/>
    <cellStyle name="Calculation 3 2 2 7" xfId="1325"/>
    <cellStyle name="Calculation 3 2 2 7 2" xfId="1762"/>
    <cellStyle name="Calculation 3 2 2 8" xfId="1389"/>
    <cellStyle name="Calculation 3 2 2 8 2" xfId="1823"/>
    <cellStyle name="Calculation 3 2 2 9" xfId="1474"/>
    <cellStyle name="Calculation 3 2 3" xfId="1454"/>
    <cellStyle name="Calculation 3 3" xfId="811"/>
    <cellStyle name="Calculation 3 3 2" xfId="1024"/>
    <cellStyle name="Calculation 3 3 2 2" xfId="1046"/>
    <cellStyle name="Calculation 3 3 2 2 2" xfId="1132"/>
    <cellStyle name="Calculation 3 3 2 2 2 2" xfId="1578"/>
    <cellStyle name="Calculation 3 3 2 2 3" xfId="1175"/>
    <cellStyle name="Calculation 3 3 2 2 3 2" xfId="1619"/>
    <cellStyle name="Calculation 3 3 2 2 4" xfId="1220"/>
    <cellStyle name="Calculation 3 3 2 2 4 2" xfId="1662"/>
    <cellStyle name="Calculation 3 3 2 2 5" xfId="1284"/>
    <cellStyle name="Calculation 3 3 2 2 5 2" xfId="1723"/>
    <cellStyle name="Calculation 3 3 2 2 6" xfId="1348"/>
    <cellStyle name="Calculation 3 3 2 2 6 2" xfId="1784"/>
    <cellStyle name="Calculation 3 3 2 2 7" xfId="1412"/>
    <cellStyle name="Calculation 3 3 2 2 7 2" xfId="1845"/>
    <cellStyle name="Calculation 3 3 2 2 8" xfId="1496"/>
    <cellStyle name="Calculation 3 3 2 3" xfId="1067"/>
    <cellStyle name="Calculation 3 3 2 3 2" xfId="1153"/>
    <cellStyle name="Calculation 3 3 2 3 2 2" xfId="1598"/>
    <cellStyle name="Calculation 3 3 2 3 3" xfId="1196"/>
    <cellStyle name="Calculation 3 3 2 3 3 2" xfId="1639"/>
    <cellStyle name="Calculation 3 3 2 3 4" xfId="1241"/>
    <cellStyle name="Calculation 3 3 2 3 4 2" xfId="1682"/>
    <cellStyle name="Calculation 3 3 2 3 5" xfId="1305"/>
    <cellStyle name="Calculation 3 3 2 3 5 2" xfId="1743"/>
    <cellStyle name="Calculation 3 3 2 3 6" xfId="1369"/>
    <cellStyle name="Calculation 3 3 2 3 6 2" xfId="1804"/>
    <cellStyle name="Calculation 3 3 2 3 7" xfId="1433"/>
    <cellStyle name="Calculation 3 3 2 3 7 2" xfId="1865"/>
    <cellStyle name="Calculation 3 3 2 3 8" xfId="1516"/>
    <cellStyle name="Calculation 3 3 2 4" xfId="1110"/>
    <cellStyle name="Calculation 3 3 2 4 2" xfId="1557"/>
    <cellStyle name="Calculation 3 3 2 5" xfId="1099"/>
    <cellStyle name="Calculation 3 3 2 5 2" xfId="1547"/>
    <cellStyle name="Calculation 3 3 2 6" xfId="1262"/>
    <cellStyle name="Calculation 3 3 2 6 2" xfId="1702"/>
    <cellStyle name="Calculation 3 3 2 7" xfId="1326"/>
    <cellStyle name="Calculation 3 3 2 7 2" xfId="1763"/>
    <cellStyle name="Calculation 3 3 2 8" xfId="1390"/>
    <cellStyle name="Calculation 3 3 2 8 2" xfId="1824"/>
    <cellStyle name="Calculation 3 3 2 9" xfId="1475"/>
    <cellStyle name="Calculation 3 3 3" xfId="1455"/>
    <cellStyle name="Centered Heading" xfId="812"/>
    <cellStyle name="Check Cell 2 2" xfId="813"/>
    <cellStyle name="Check Cell 2 3" xfId="814"/>
    <cellStyle name="Check Cell 3 2" xfId="815"/>
    <cellStyle name="Check Cell 3 3" xfId="816"/>
    <cellStyle name="Column_Title" xfId="624"/>
    <cellStyle name="Comma" xfId="1883" builtinId="3"/>
    <cellStyle name="Comma  - Style1" xfId="625"/>
    <cellStyle name="Comma  - Style2" xfId="626"/>
    <cellStyle name="Comma  - Style3" xfId="627"/>
    <cellStyle name="Comma  - Style4" xfId="628"/>
    <cellStyle name="Comma  - Style5" xfId="629"/>
    <cellStyle name="Comma  - Style6" xfId="630"/>
    <cellStyle name="Comma  - Style7" xfId="631"/>
    <cellStyle name="Comma  - Style8" xfId="632"/>
    <cellStyle name="Comma 10" xfId="1011"/>
    <cellStyle name="Comma 11" xfId="1015"/>
    <cellStyle name="Comma 12" xfId="1017"/>
    <cellStyle name="Comma 13" xfId="1019"/>
    <cellStyle name="Comma 14" xfId="56"/>
    <cellStyle name="Comma 15" xfId="1886"/>
    <cellStyle name="Comma 2" xfId="11"/>
    <cellStyle name="Comma 2 2" xfId="74"/>
    <cellStyle name="Comma 2 2 2" xfId="75"/>
    <cellStyle name="Comma 2 2 3" xfId="76"/>
    <cellStyle name="Comma 2 2 4" xfId="817"/>
    <cellStyle name="Comma 2 3" xfId="77"/>
    <cellStyle name="Comma 2 3 2" xfId="818"/>
    <cellStyle name="Comma 2 4" xfId="78"/>
    <cellStyle name="Comma 2 5" xfId="60"/>
    <cellStyle name="Comma 3" xfId="12"/>
    <cellStyle name="Comma 3 2" xfId="819"/>
    <cellStyle name="Comma 3 3" xfId="820"/>
    <cellStyle name="Comma 3 4" xfId="62"/>
    <cellStyle name="Comma 4" xfId="13"/>
    <cellStyle name="Comma 4 2" xfId="821"/>
    <cellStyle name="Comma 4 3" xfId="822"/>
    <cellStyle name="Comma 4 4" xfId="79"/>
    <cellStyle name="Comma 5" xfId="14"/>
    <cellStyle name="Comma 5 2" xfId="823"/>
    <cellStyle name="Comma 5 3" xfId="80"/>
    <cellStyle name="Comma 6" xfId="15"/>
    <cellStyle name="Comma 6 2" xfId="825"/>
    <cellStyle name="Comma 6 3" xfId="824"/>
    <cellStyle name="Comma 7" xfId="16"/>
    <cellStyle name="Comma 7 2" xfId="827"/>
    <cellStyle name="Comma 7 3" xfId="826"/>
    <cellStyle name="Comma 8" xfId="17"/>
    <cellStyle name="Comma 8 2" xfId="828"/>
    <cellStyle name="Comma 9" xfId="54"/>
    <cellStyle name="Comma 9 2" xfId="1013"/>
    <cellStyle name="Comma(2)" xfId="81"/>
    <cellStyle name="Comma0" xfId="633"/>
    <cellStyle name="Comma0 2" xfId="829"/>
    <cellStyle name="Comma0 3" xfId="830"/>
    <cellStyle name="Comma0 4" xfId="831"/>
    <cellStyle name="Comment" xfId="82"/>
    <cellStyle name="Comment 10" xfId="83"/>
    <cellStyle name="Comment 11" xfId="84"/>
    <cellStyle name="Comment 12" xfId="85"/>
    <cellStyle name="Comment 13" xfId="86"/>
    <cellStyle name="Comment 14" xfId="87"/>
    <cellStyle name="Comment 15" xfId="88"/>
    <cellStyle name="Comment 16" xfId="89"/>
    <cellStyle name="Comment 17" xfId="90"/>
    <cellStyle name="Comment 18" xfId="91"/>
    <cellStyle name="Comment 19" xfId="92"/>
    <cellStyle name="Comment 2" xfId="93"/>
    <cellStyle name="Comment 20" xfId="94"/>
    <cellStyle name="Comment 21" xfId="95"/>
    <cellStyle name="Comment 22" xfId="96"/>
    <cellStyle name="Comment 23" xfId="97"/>
    <cellStyle name="Comment 24" xfId="98"/>
    <cellStyle name="Comment 25" xfId="99"/>
    <cellStyle name="Comment 26" xfId="100"/>
    <cellStyle name="Comment 27" xfId="101"/>
    <cellStyle name="Comment 28" xfId="102"/>
    <cellStyle name="Comment 29" xfId="103"/>
    <cellStyle name="Comment 3" xfId="104"/>
    <cellStyle name="Comment 30" xfId="105"/>
    <cellStyle name="Comment 31" xfId="106"/>
    <cellStyle name="Comment 32" xfId="107"/>
    <cellStyle name="Comment 33" xfId="108"/>
    <cellStyle name="Comment 34" xfId="109"/>
    <cellStyle name="Comment 35" xfId="110"/>
    <cellStyle name="Comment 36" xfId="111"/>
    <cellStyle name="Comment 37" xfId="112"/>
    <cellStyle name="Comment 38" xfId="113"/>
    <cellStyle name="Comment 39" xfId="114"/>
    <cellStyle name="Comment 4" xfId="115"/>
    <cellStyle name="Comment 40" xfId="116"/>
    <cellStyle name="Comment 41" xfId="117"/>
    <cellStyle name="Comment 42" xfId="118"/>
    <cellStyle name="Comment 43" xfId="119"/>
    <cellStyle name="Comment 44" xfId="120"/>
    <cellStyle name="Comment 45" xfId="121"/>
    <cellStyle name="Comment 46" xfId="122"/>
    <cellStyle name="Comment 47" xfId="123"/>
    <cellStyle name="Comment 48" xfId="124"/>
    <cellStyle name="Comment 49" xfId="634"/>
    <cellStyle name="Comment 5" xfId="125"/>
    <cellStyle name="Comment 50" xfId="635"/>
    <cellStyle name="Comment 6" xfId="126"/>
    <cellStyle name="Comment 7" xfId="127"/>
    <cellStyle name="Comment 8" xfId="128"/>
    <cellStyle name="Comment 9" xfId="129"/>
    <cellStyle name="Comment_ACCT" xfId="130"/>
    <cellStyle name="Comments" xfId="131"/>
    <cellStyle name="Company Name" xfId="832"/>
    <cellStyle name="Currency" xfId="52" builtinId="4"/>
    <cellStyle name="Currency 2" xfId="6"/>
    <cellStyle name="Currency 2 2" xfId="833"/>
    <cellStyle name="Currency 2 3" xfId="834"/>
    <cellStyle name="Currency 2 3 2" xfId="835"/>
    <cellStyle name="Currency 2 3 2 2" xfId="836"/>
    <cellStyle name="Currency 2 4" xfId="59"/>
    <cellStyle name="Currency 3" xfId="837"/>
    <cellStyle name="Currency 3 2" xfId="838"/>
    <cellStyle name="Currency 4" xfId="57"/>
    <cellStyle name="Currency_CD-Oxford2" xfId="1"/>
    <cellStyle name="Currency0" xfId="636"/>
    <cellStyle name="Currency0 2" xfId="839"/>
    <cellStyle name="Currency0 3" xfId="840"/>
    <cellStyle name="Currency0 4" xfId="841"/>
    <cellStyle name="Data Enter" xfId="132"/>
    <cellStyle name="Date" xfId="133"/>
    <cellStyle name="Date 2" xfId="842"/>
    <cellStyle name="Date 3" xfId="843"/>
    <cellStyle name="Date 4" xfId="844"/>
    <cellStyle name="Date 5" xfId="845"/>
    <cellStyle name="Explanatory Text 2 2" xfId="846"/>
    <cellStyle name="Explanatory Text 2 3" xfId="847"/>
    <cellStyle name="Explanatory Text 3 2" xfId="848"/>
    <cellStyle name="Explanatory Text 3 3" xfId="849"/>
    <cellStyle name="F2" xfId="134"/>
    <cellStyle name="F3" xfId="135"/>
    <cellStyle name="F4" xfId="136"/>
    <cellStyle name="F5" xfId="137"/>
    <cellStyle name="F6" xfId="138"/>
    <cellStyle name="F7" xfId="139"/>
    <cellStyle name="F8" xfId="140"/>
    <cellStyle name="FactSheet" xfId="141"/>
    <cellStyle name="Fixed" xfId="142"/>
    <cellStyle name="Fixed 2" xfId="850"/>
    <cellStyle name="Fixed 3" xfId="851"/>
    <cellStyle name="Fixed 4" xfId="852"/>
    <cellStyle name="Fixed 5" xfId="853"/>
    <cellStyle name="FIXED 6" xfId="854"/>
    <cellStyle name="Flag" xfId="143"/>
    <cellStyle name="Good 2 2" xfId="855"/>
    <cellStyle name="Good 2 3" xfId="856"/>
    <cellStyle name="Good 3 2" xfId="857"/>
    <cellStyle name="Good 3 3" xfId="858"/>
    <cellStyle name="Grey" xfId="637"/>
    <cellStyle name="Header1" xfId="638"/>
    <cellStyle name="Header2" xfId="639"/>
    <cellStyle name="Header2 2" xfId="1041"/>
    <cellStyle name="Header2 2 2" xfId="1127"/>
    <cellStyle name="Header2 2 2 2" xfId="1574"/>
    <cellStyle name="Header2 2 3" xfId="1170"/>
    <cellStyle name="Header2 2 3 2" xfId="1615"/>
    <cellStyle name="Header2 2 4" xfId="1215"/>
    <cellStyle name="Header2 2 4 2" xfId="1658"/>
    <cellStyle name="Header2 2 5" xfId="1279"/>
    <cellStyle name="Header2 2 5 2" xfId="1719"/>
    <cellStyle name="Header2 2 6" xfId="1343"/>
    <cellStyle name="Header2 2 6 2" xfId="1780"/>
    <cellStyle name="Header2 2 7" xfId="1407"/>
    <cellStyle name="Header2 2 7 2" xfId="1841"/>
    <cellStyle name="Header2 2 8" xfId="1492"/>
    <cellStyle name="Header2 3" xfId="1105"/>
    <cellStyle name="Header2 3 2" xfId="1553"/>
    <cellStyle name="Header2 4" xfId="1084"/>
    <cellStyle name="Header2 4 2" xfId="1533"/>
    <cellStyle name="Header2 5" xfId="1097"/>
    <cellStyle name="Header2 5 2" xfId="1545"/>
    <cellStyle name="Heading 1 2" xfId="640"/>
    <cellStyle name="Heading 1 2 2" xfId="859"/>
    <cellStyle name="Heading 1 2 3" xfId="860"/>
    <cellStyle name="Heading 1 3" xfId="641"/>
    <cellStyle name="Heading 1 3 2" xfId="861"/>
    <cellStyle name="Heading 1 3 3" xfId="862"/>
    <cellStyle name="Heading 1 4" xfId="642"/>
    <cellStyle name="Heading 2 2" xfId="643"/>
    <cellStyle name="Heading 2 2 2" xfId="863"/>
    <cellStyle name="Heading 2 2 3" xfId="864"/>
    <cellStyle name="Heading 2 3" xfId="644"/>
    <cellStyle name="Heading 2 3 2" xfId="865"/>
    <cellStyle name="Heading 2 3 3" xfId="866"/>
    <cellStyle name="Heading 2 4" xfId="645"/>
    <cellStyle name="Heading 3 2" xfId="867"/>
    <cellStyle name="Heading 3 2 2" xfId="868"/>
    <cellStyle name="Heading 3 2 3" xfId="869"/>
    <cellStyle name="Heading 3 3 2" xfId="870"/>
    <cellStyle name="Heading 3 3 3" xfId="871"/>
    <cellStyle name="Heading 4 2" xfId="872"/>
    <cellStyle name="Heading 4 2 2" xfId="873"/>
    <cellStyle name="Heading 4 2 3" xfId="874"/>
    <cellStyle name="Heading 4 3 2" xfId="875"/>
    <cellStyle name="Heading 4 3 3" xfId="876"/>
    <cellStyle name="Heading No Underline" xfId="877"/>
    <cellStyle name="Heading With Underline" xfId="878"/>
    <cellStyle name="Heading1" xfId="144"/>
    <cellStyle name="Heading2" xfId="145"/>
    <cellStyle name="Hyperlink 2" xfId="146"/>
    <cellStyle name="Hyperlink 2 2" xfId="147"/>
    <cellStyle name="Hyperlink 2 3" xfId="148"/>
    <cellStyle name="Hyperlink 2_Cost Centers with Managers" xfId="149"/>
    <cellStyle name="Hyperlink 3" xfId="150"/>
    <cellStyle name="Hyperlink 3 2" xfId="151"/>
    <cellStyle name="Hyperlink 3 3" xfId="152"/>
    <cellStyle name="Hyperlink 4" xfId="153"/>
    <cellStyle name="Hyperlink 4 2" xfId="154"/>
    <cellStyle name="Hyperlink 4 3" xfId="155"/>
    <cellStyle name="Hyperlink 5" xfId="156"/>
    <cellStyle name="Input [yellow]" xfId="646"/>
    <cellStyle name="Input 2 2" xfId="879"/>
    <cellStyle name="Input 2 2 2" xfId="1025"/>
    <cellStyle name="Input 2 2 2 2" xfId="1047"/>
    <cellStyle name="Input 2 2 2 2 2" xfId="1133"/>
    <cellStyle name="Input 2 2 2 2 2 2" xfId="1579"/>
    <cellStyle name="Input 2 2 2 2 3" xfId="1176"/>
    <cellStyle name="Input 2 2 2 2 3 2" xfId="1620"/>
    <cellStyle name="Input 2 2 2 2 4" xfId="1221"/>
    <cellStyle name="Input 2 2 2 2 4 2" xfId="1663"/>
    <cellStyle name="Input 2 2 2 2 5" xfId="1285"/>
    <cellStyle name="Input 2 2 2 2 5 2" xfId="1724"/>
    <cellStyle name="Input 2 2 2 2 6" xfId="1349"/>
    <cellStyle name="Input 2 2 2 2 6 2" xfId="1785"/>
    <cellStyle name="Input 2 2 2 2 7" xfId="1413"/>
    <cellStyle name="Input 2 2 2 2 7 2" xfId="1846"/>
    <cellStyle name="Input 2 2 2 2 8" xfId="1497"/>
    <cellStyle name="Input 2 2 2 3" xfId="1068"/>
    <cellStyle name="Input 2 2 2 3 2" xfId="1154"/>
    <cellStyle name="Input 2 2 2 3 2 2" xfId="1599"/>
    <cellStyle name="Input 2 2 2 3 3" xfId="1197"/>
    <cellStyle name="Input 2 2 2 3 3 2" xfId="1640"/>
    <cellStyle name="Input 2 2 2 3 4" xfId="1242"/>
    <cellStyle name="Input 2 2 2 3 4 2" xfId="1683"/>
    <cellStyle name="Input 2 2 2 3 5" xfId="1306"/>
    <cellStyle name="Input 2 2 2 3 5 2" xfId="1744"/>
    <cellStyle name="Input 2 2 2 3 6" xfId="1370"/>
    <cellStyle name="Input 2 2 2 3 6 2" xfId="1805"/>
    <cellStyle name="Input 2 2 2 3 7" xfId="1434"/>
    <cellStyle name="Input 2 2 2 3 7 2" xfId="1866"/>
    <cellStyle name="Input 2 2 2 3 8" xfId="1517"/>
    <cellStyle name="Input 2 2 2 4" xfId="1111"/>
    <cellStyle name="Input 2 2 2 4 2" xfId="1558"/>
    <cellStyle name="Input 2 2 2 5" xfId="1100"/>
    <cellStyle name="Input 2 2 2 5 2" xfId="1548"/>
    <cellStyle name="Input 2 2 2 6" xfId="1263"/>
    <cellStyle name="Input 2 2 2 6 2" xfId="1703"/>
    <cellStyle name="Input 2 2 2 7" xfId="1327"/>
    <cellStyle name="Input 2 2 2 7 2" xfId="1764"/>
    <cellStyle name="Input 2 2 2 8" xfId="1391"/>
    <cellStyle name="Input 2 2 2 8 2" xfId="1825"/>
    <cellStyle name="Input 2 2 2 9" xfId="1476"/>
    <cellStyle name="Input 2 2 3" xfId="1456"/>
    <cellStyle name="Input 2 3" xfId="880"/>
    <cellStyle name="Input 2 3 2" xfId="1026"/>
    <cellStyle name="Input 2 3 2 2" xfId="1048"/>
    <cellStyle name="Input 2 3 2 2 2" xfId="1134"/>
    <cellStyle name="Input 2 3 2 2 2 2" xfId="1580"/>
    <cellStyle name="Input 2 3 2 2 3" xfId="1177"/>
    <cellStyle name="Input 2 3 2 2 3 2" xfId="1621"/>
    <cellStyle name="Input 2 3 2 2 4" xfId="1222"/>
    <cellStyle name="Input 2 3 2 2 4 2" xfId="1664"/>
    <cellStyle name="Input 2 3 2 2 5" xfId="1286"/>
    <cellStyle name="Input 2 3 2 2 5 2" xfId="1725"/>
    <cellStyle name="Input 2 3 2 2 6" xfId="1350"/>
    <cellStyle name="Input 2 3 2 2 6 2" xfId="1786"/>
    <cellStyle name="Input 2 3 2 2 7" xfId="1414"/>
    <cellStyle name="Input 2 3 2 2 7 2" xfId="1847"/>
    <cellStyle name="Input 2 3 2 2 8" xfId="1498"/>
    <cellStyle name="Input 2 3 2 3" xfId="1069"/>
    <cellStyle name="Input 2 3 2 3 2" xfId="1155"/>
    <cellStyle name="Input 2 3 2 3 2 2" xfId="1600"/>
    <cellStyle name="Input 2 3 2 3 3" xfId="1198"/>
    <cellStyle name="Input 2 3 2 3 3 2" xfId="1641"/>
    <cellStyle name="Input 2 3 2 3 4" xfId="1243"/>
    <cellStyle name="Input 2 3 2 3 4 2" xfId="1684"/>
    <cellStyle name="Input 2 3 2 3 5" xfId="1307"/>
    <cellStyle name="Input 2 3 2 3 5 2" xfId="1745"/>
    <cellStyle name="Input 2 3 2 3 6" xfId="1371"/>
    <cellStyle name="Input 2 3 2 3 6 2" xfId="1806"/>
    <cellStyle name="Input 2 3 2 3 7" xfId="1435"/>
    <cellStyle name="Input 2 3 2 3 7 2" xfId="1867"/>
    <cellStyle name="Input 2 3 2 3 8" xfId="1518"/>
    <cellStyle name="Input 2 3 2 4" xfId="1112"/>
    <cellStyle name="Input 2 3 2 4 2" xfId="1559"/>
    <cellStyle name="Input 2 3 2 5" xfId="1101"/>
    <cellStyle name="Input 2 3 2 5 2" xfId="1549"/>
    <cellStyle name="Input 2 3 2 6" xfId="1264"/>
    <cellStyle name="Input 2 3 2 6 2" xfId="1704"/>
    <cellStyle name="Input 2 3 2 7" xfId="1328"/>
    <cellStyle name="Input 2 3 2 7 2" xfId="1765"/>
    <cellStyle name="Input 2 3 2 8" xfId="1392"/>
    <cellStyle name="Input 2 3 2 8 2" xfId="1826"/>
    <cellStyle name="Input 2 3 2 9" xfId="1477"/>
    <cellStyle name="Input 2 3 3" xfId="1457"/>
    <cellStyle name="Input 3 2" xfId="881"/>
    <cellStyle name="Input 3 2 2" xfId="1027"/>
    <cellStyle name="Input 3 2 2 2" xfId="1049"/>
    <cellStyle name="Input 3 2 2 2 2" xfId="1135"/>
    <cellStyle name="Input 3 2 2 2 2 2" xfId="1581"/>
    <cellStyle name="Input 3 2 2 2 3" xfId="1178"/>
    <cellStyle name="Input 3 2 2 2 3 2" xfId="1622"/>
    <cellStyle name="Input 3 2 2 2 4" xfId="1223"/>
    <cellStyle name="Input 3 2 2 2 4 2" xfId="1665"/>
    <cellStyle name="Input 3 2 2 2 5" xfId="1287"/>
    <cellStyle name="Input 3 2 2 2 5 2" xfId="1726"/>
    <cellStyle name="Input 3 2 2 2 6" xfId="1351"/>
    <cellStyle name="Input 3 2 2 2 6 2" xfId="1787"/>
    <cellStyle name="Input 3 2 2 2 7" xfId="1415"/>
    <cellStyle name="Input 3 2 2 2 7 2" xfId="1848"/>
    <cellStyle name="Input 3 2 2 2 8" xfId="1499"/>
    <cellStyle name="Input 3 2 2 3" xfId="1070"/>
    <cellStyle name="Input 3 2 2 3 2" xfId="1156"/>
    <cellStyle name="Input 3 2 2 3 2 2" xfId="1601"/>
    <cellStyle name="Input 3 2 2 3 3" xfId="1199"/>
    <cellStyle name="Input 3 2 2 3 3 2" xfId="1642"/>
    <cellStyle name="Input 3 2 2 3 4" xfId="1244"/>
    <cellStyle name="Input 3 2 2 3 4 2" xfId="1685"/>
    <cellStyle name="Input 3 2 2 3 5" xfId="1308"/>
    <cellStyle name="Input 3 2 2 3 5 2" xfId="1746"/>
    <cellStyle name="Input 3 2 2 3 6" xfId="1372"/>
    <cellStyle name="Input 3 2 2 3 6 2" xfId="1807"/>
    <cellStyle name="Input 3 2 2 3 7" xfId="1436"/>
    <cellStyle name="Input 3 2 2 3 7 2" xfId="1868"/>
    <cellStyle name="Input 3 2 2 3 8" xfId="1519"/>
    <cellStyle name="Input 3 2 2 4" xfId="1113"/>
    <cellStyle name="Input 3 2 2 4 2" xfId="1560"/>
    <cellStyle name="Input 3 2 2 5" xfId="1087"/>
    <cellStyle name="Input 3 2 2 5 2" xfId="1535"/>
    <cellStyle name="Input 3 2 2 6" xfId="1265"/>
    <cellStyle name="Input 3 2 2 6 2" xfId="1705"/>
    <cellStyle name="Input 3 2 2 7" xfId="1329"/>
    <cellStyle name="Input 3 2 2 7 2" xfId="1766"/>
    <cellStyle name="Input 3 2 2 8" xfId="1393"/>
    <cellStyle name="Input 3 2 2 8 2" xfId="1827"/>
    <cellStyle name="Input 3 2 2 9" xfId="1478"/>
    <cellStyle name="Input 3 2 3" xfId="1458"/>
    <cellStyle name="Input 3 3" xfId="882"/>
    <cellStyle name="Input 3 3 2" xfId="1028"/>
    <cellStyle name="Input 3 3 2 2" xfId="1050"/>
    <cellStyle name="Input 3 3 2 2 2" xfId="1136"/>
    <cellStyle name="Input 3 3 2 2 2 2" xfId="1582"/>
    <cellStyle name="Input 3 3 2 2 3" xfId="1179"/>
    <cellStyle name="Input 3 3 2 2 3 2" xfId="1623"/>
    <cellStyle name="Input 3 3 2 2 4" xfId="1224"/>
    <cellStyle name="Input 3 3 2 2 4 2" xfId="1666"/>
    <cellStyle name="Input 3 3 2 2 5" xfId="1288"/>
    <cellStyle name="Input 3 3 2 2 5 2" xfId="1727"/>
    <cellStyle name="Input 3 3 2 2 6" xfId="1352"/>
    <cellStyle name="Input 3 3 2 2 6 2" xfId="1788"/>
    <cellStyle name="Input 3 3 2 2 7" xfId="1416"/>
    <cellStyle name="Input 3 3 2 2 7 2" xfId="1849"/>
    <cellStyle name="Input 3 3 2 2 8" xfId="1500"/>
    <cellStyle name="Input 3 3 2 3" xfId="1071"/>
    <cellStyle name="Input 3 3 2 3 2" xfId="1157"/>
    <cellStyle name="Input 3 3 2 3 2 2" xfId="1602"/>
    <cellStyle name="Input 3 3 2 3 3" xfId="1200"/>
    <cellStyle name="Input 3 3 2 3 3 2" xfId="1643"/>
    <cellStyle name="Input 3 3 2 3 4" xfId="1245"/>
    <cellStyle name="Input 3 3 2 3 4 2" xfId="1686"/>
    <cellStyle name="Input 3 3 2 3 5" xfId="1309"/>
    <cellStyle name="Input 3 3 2 3 5 2" xfId="1747"/>
    <cellStyle name="Input 3 3 2 3 6" xfId="1373"/>
    <cellStyle name="Input 3 3 2 3 6 2" xfId="1808"/>
    <cellStyle name="Input 3 3 2 3 7" xfId="1437"/>
    <cellStyle name="Input 3 3 2 3 7 2" xfId="1869"/>
    <cellStyle name="Input 3 3 2 3 8" xfId="1520"/>
    <cellStyle name="Input 3 3 2 4" xfId="1114"/>
    <cellStyle name="Input 3 3 2 4 2" xfId="1561"/>
    <cellStyle name="Input 3 3 2 5" xfId="1088"/>
    <cellStyle name="Input 3 3 2 5 2" xfId="1536"/>
    <cellStyle name="Input 3 3 2 6" xfId="1266"/>
    <cellStyle name="Input 3 3 2 6 2" xfId="1706"/>
    <cellStyle name="Input 3 3 2 7" xfId="1330"/>
    <cellStyle name="Input 3 3 2 7 2" xfId="1767"/>
    <cellStyle name="Input 3 3 2 8" xfId="1394"/>
    <cellStyle name="Input 3 3 2 8 2" xfId="1828"/>
    <cellStyle name="Input 3 3 2 9" xfId="1479"/>
    <cellStyle name="Input 3 3 3" xfId="1459"/>
    <cellStyle name="Input Box" xfId="157"/>
    <cellStyle name="input(0)" xfId="158"/>
    <cellStyle name="Input(2)" xfId="159"/>
    <cellStyle name="Interface" xfId="160"/>
    <cellStyle name="LineItemValue" xfId="161"/>
    <cellStyle name="Lines" xfId="162"/>
    <cellStyle name="Lines 2" xfId="163"/>
    <cellStyle name="Lines 3" xfId="164"/>
    <cellStyle name="Linked Cell 2 2" xfId="883"/>
    <cellStyle name="Linked Cell 2 3" xfId="884"/>
    <cellStyle name="Linked Cell 3 2" xfId="885"/>
    <cellStyle name="Linked Cell 3 3" xfId="886"/>
    <cellStyle name="Milliers [0]_laroux" xfId="647"/>
    <cellStyle name="Milliers_laroux" xfId="648"/>
    <cellStyle name="Monétaire [0]_laroux" xfId="649"/>
    <cellStyle name="Monétaire_laroux" xfId="650"/>
    <cellStyle name="Neutral 2 2" xfId="887"/>
    <cellStyle name="Neutral 2 3" xfId="888"/>
    <cellStyle name="Neutral 3 2" xfId="889"/>
    <cellStyle name="Neutral 3 3" xfId="890"/>
    <cellStyle name="New_normal" xfId="165"/>
    <cellStyle name="no dec" xfId="651"/>
    <cellStyle name="Normal" xfId="0" builtinId="0"/>
    <cellStyle name="Normal - Style1" xfId="166"/>
    <cellStyle name="Normal - Style1 2" xfId="891"/>
    <cellStyle name="Normal - Style2" xfId="167"/>
    <cellStyle name="Normal - Style3" xfId="168"/>
    <cellStyle name="Normal - Style4" xfId="169"/>
    <cellStyle name="Normal - Style5" xfId="170"/>
    <cellStyle name="Normal 10" xfId="171"/>
    <cellStyle name="Normal 10 10" xfId="172"/>
    <cellStyle name="Normal 10 11" xfId="173"/>
    <cellStyle name="Normal 10 12" xfId="174"/>
    <cellStyle name="Normal 10 13" xfId="892"/>
    <cellStyle name="Normal 10 2" xfId="175"/>
    <cellStyle name="Normal 10 2 2" xfId="893"/>
    <cellStyle name="Normal 10 3" xfId="176"/>
    <cellStyle name="Normal 10 3 2" xfId="894"/>
    <cellStyle name="Normal 10 4" xfId="177"/>
    <cellStyle name="Normal 10 5" xfId="178"/>
    <cellStyle name="Normal 10 6" xfId="179"/>
    <cellStyle name="Normal 10 7" xfId="180"/>
    <cellStyle name="Normal 10 8" xfId="181"/>
    <cellStyle name="Normal 10 9" xfId="182"/>
    <cellStyle name="Normal 10_ACCT" xfId="652"/>
    <cellStyle name="Normal 100" xfId="895"/>
    <cellStyle name="Normal 101" xfId="896"/>
    <cellStyle name="Normal 102" xfId="897"/>
    <cellStyle name="Normal 103" xfId="898"/>
    <cellStyle name="Normal 104" xfId="899"/>
    <cellStyle name="Normal 105" xfId="900"/>
    <cellStyle name="Normal 106" xfId="1012"/>
    <cellStyle name="Normal 107" xfId="1014"/>
    <cellStyle name="Normal 108" xfId="1016"/>
    <cellStyle name="Normal 109" xfId="1018"/>
    <cellStyle name="Normal 11" xfId="183"/>
    <cellStyle name="Normal 11 10" xfId="184"/>
    <cellStyle name="Normal 11 11" xfId="185"/>
    <cellStyle name="Normal 11 12" xfId="186"/>
    <cellStyle name="Normal 11 13" xfId="901"/>
    <cellStyle name="Normal 11 14" xfId="902"/>
    <cellStyle name="Normal 11 2" xfId="187"/>
    <cellStyle name="Normal 11 3" xfId="188"/>
    <cellStyle name="Normal 11 4" xfId="189"/>
    <cellStyle name="Normal 11 5" xfId="190"/>
    <cellStyle name="Normal 11 6" xfId="191"/>
    <cellStyle name="Normal 11 7" xfId="192"/>
    <cellStyle name="Normal 11 8" xfId="193"/>
    <cellStyle name="Normal 11 9" xfId="194"/>
    <cellStyle name="Normal 110" xfId="55"/>
    <cellStyle name="Normal 111" xfId="1884"/>
    <cellStyle name="Normal 112" xfId="1885"/>
    <cellStyle name="Normal 113" xfId="1888"/>
    <cellStyle name="Normal 12" xfId="195"/>
    <cellStyle name="Normal 12 10" xfId="196"/>
    <cellStyle name="Normal 12 11" xfId="197"/>
    <cellStyle name="Normal 12 12" xfId="198"/>
    <cellStyle name="Normal 12 13" xfId="903"/>
    <cellStyle name="Normal 12 2" xfId="199"/>
    <cellStyle name="Normal 12 3" xfId="200"/>
    <cellStyle name="Normal 12 4" xfId="201"/>
    <cellStyle name="Normal 12 5" xfId="202"/>
    <cellStyle name="Normal 12 6" xfId="203"/>
    <cellStyle name="Normal 12 7" xfId="204"/>
    <cellStyle name="Normal 12 8" xfId="205"/>
    <cellStyle name="Normal 12 9" xfId="206"/>
    <cellStyle name="Normal 13" xfId="207"/>
    <cellStyle name="Normal 13 10" xfId="208"/>
    <cellStyle name="Normal 13 11" xfId="209"/>
    <cellStyle name="Normal 13 12" xfId="210"/>
    <cellStyle name="Normal 13 13" xfId="904"/>
    <cellStyle name="Normal 13 2" xfId="211"/>
    <cellStyle name="Normal 13 3" xfId="212"/>
    <cellStyle name="Normal 13 4" xfId="213"/>
    <cellStyle name="Normal 13 5" xfId="214"/>
    <cellStyle name="Normal 13 6" xfId="215"/>
    <cellStyle name="Normal 13 7" xfId="216"/>
    <cellStyle name="Normal 13 8" xfId="217"/>
    <cellStyle name="Normal 13 9" xfId="218"/>
    <cellStyle name="Normal 14" xfId="219"/>
    <cellStyle name="Normal 14 10" xfId="220"/>
    <cellStyle name="Normal 14 11" xfId="221"/>
    <cellStyle name="Normal 14 12" xfId="222"/>
    <cellStyle name="Normal 14 13" xfId="905"/>
    <cellStyle name="Normal 14 2" xfId="223"/>
    <cellStyle name="Normal 14 3" xfId="224"/>
    <cellStyle name="Normal 14 4" xfId="225"/>
    <cellStyle name="Normal 14 5" xfId="226"/>
    <cellStyle name="Normal 14 6" xfId="227"/>
    <cellStyle name="Normal 14 7" xfId="228"/>
    <cellStyle name="Normal 14 8" xfId="229"/>
    <cellStyle name="Normal 14 9" xfId="230"/>
    <cellStyle name="Normal 15" xfId="231"/>
    <cellStyle name="Normal 15 10" xfId="232"/>
    <cellStyle name="Normal 15 11" xfId="233"/>
    <cellStyle name="Normal 15 12" xfId="234"/>
    <cellStyle name="Normal 15 13" xfId="906"/>
    <cellStyle name="Normal 15 2" xfId="235"/>
    <cellStyle name="Normal 15 3" xfId="236"/>
    <cellStyle name="Normal 15 4" xfId="237"/>
    <cellStyle name="Normal 15 5" xfId="238"/>
    <cellStyle name="Normal 15 6" xfId="239"/>
    <cellStyle name="Normal 15 7" xfId="240"/>
    <cellStyle name="Normal 15 8" xfId="241"/>
    <cellStyle name="Normal 15 9" xfId="242"/>
    <cellStyle name="Normal 16" xfId="243"/>
    <cellStyle name="Normal 16 10" xfId="244"/>
    <cellStyle name="Normal 16 11" xfId="245"/>
    <cellStyle name="Normal 16 12" xfId="246"/>
    <cellStyle name="Normal 16 13" xfId="907"/>
    <cellStyle name="Normal 16 2" xfId="247"/>
    <cellStyle name="Normal 16 3" xfId="248"/>
    <cellStyle name="Normal 16 4" xfId="249"/>
    <cellStyle name="Normal 16 5" xfId="250"/>
    <cellStyle name="Normal 16 6" xfId="251"/>
    <cellStyle name="Normal 16 7" xfId="252"/>
    <cellStyle name="Normal 16 8" xfId="253"/>
    <cellStyle name="Normal 16 9" xfId="254"/>
    <cellStyle name="Normal 17" xfId="255"/>
    <cellStyle name="Normal 17 10" xfId="256"/>
    <cellStyle name="Normal 17 11" xfId="257"/>
    <cellStyle name="Normal 17 12" xfId="258"/>
    <cellStyle name="Normal 17 13" xfId="908"/>
    <cellStyle name="Normal 17 2" xfId="259"/>
    <cellStyle name="Normal 17 3" xfId="260"/>
    <cellStyle name="Normal 17 4" xfId="261"/>
    <cellStyle name="Normal 17 5" xfId="262"/>
    <cellStyle name="Normal 17 6" xfId="263"/>
    <cellStyle name="Normal 17 7" xfId="264"/>
    <cellStyle name="Normal 17 8" xfId="265"/>
    <cellStyle name="Normal 17 9" xfId="266"/>
    <cellStyle name="Normal 18" xfId="267"/>
    <cellStyle name="Normal 18 10" xfId="268"/>
    <cellStyle name="Normal 18 11" xfId="269"/>
    <cellStyle name="Normal 18 12" xfId="270"/>
    <cellStyle name="Normal 18 13" xfId="909"/>
    <cellStyle name="Normal 18 2" xfId="271"/>
    <cellStyle name="Normal 18 3" xfId="272"/>
    <cellStyle name="Normal 18 4" xfId="273"/>
    <cellStyle name="Normal 18 5" xfId="274"/>
    <cellStyle name="Normal 18 6" xfId="275"/>
    <cellStyle name="Normal 18 7" xfId="276"/>
    <cellStyle name="Normal 18 8" xfId="277"/>
    <cellStyle name="Normal 18 9" xfId="278"/>
    <cellStyle name="Normal 19" xfId="279"/>
    <cellStyle name="Normal 19 10" xfId="280"/>
    <cellStyle name="Normal 19 11" xfId="281"/>
    <cellStyle name="Normal 19 12" xfId="282"/>
    <cellStyle name="Normal 19 13" xfId="910"/>
    <cellStyle name="Normal 19 2" xfId="283"/>
    <cellStyle name="Normal 19 3" xfId="284"/>
    <cellStyle name="Normal 19 4" xfId="285"/>
    <cellStyle name="Normal 19 5" xfId="286"/>
    <cellStyle name="Normal 19 6" xfId="287"/>
    <cellStyle name="Normal 19 7" xfId="288"/>
    <cellStyle name="Normal 19 8" xfId="289"/>
    <cellStyle name="Normal 19 9" xfId="290"/>
    <cellStyle name="Normal 2" xfId="4"/>
    <cellStyle name="Normal 2 10" xfId="7"/>
    <cellStyle name="Normal 2 10 2" xfId="291"/>
    <cellStyle name="Normal 2 11" xfId="292"/>
    <cellStyle name="Normal 2 12" xfId="293"/>
    <cellStyle name="Normal 2 13" xfId="294"/>
    <cellStyle name="Normal 2 14" xfId="295"/>
    <cellStyle name="Normal 2 15" xfId="296"/>
    <cellStyle name="Normal 2 16" xfId="1882"/>
    <cellStyle name="Normal 2 2" xfId="10"/>
    <cellStyle name="Normal 2 2 10" xfId="298"/>
    <cellStyle name="Normal 2 2 11" xfId="299"/>
    <cellStyle name="Normal 2 2 12" xfId="300"/>
    <cellStyle name="Normal 2 2 13" xfId="301"/>
    <cellStyle name="Normal 2 2 14" xfId="302"/>
    <cellStyle name="Normal 2 2 15" xfId="303"/>
    <cellStyle name="Normal 2 2 16" xfId="304"/>
    <cellStyle name="Normal 2 2 17" xfId="305"/>
    <cellStyle name="Normal 2 2 18" xfId="306"/>
    <cellStyle name="Normal 2 2 19" xfId="307"/>
    <cellStyle name="Normal 2 2 2" xfId="308"/>
    <cellStyle name="Normal 2 2 20" xfId="309"/>
    <cellStyle name="Normal 2 2 21" xfId="310"/>
    <cellStyle name="Normal 2 2 22" xfId="311"/>
    <cellStyle name="Normal 2 2 23" xfId="312"/>
    <cellStyle name="Normal 2 2 24" xfId="313"/>
    <cellStyle name="Normal 2 2 25" xfId="314"/>
    <cellStyle name="Normal 2 2 26" xfId="315"/>
    <cellStyle name="Normal 2 2 27" xfId="316"/>
    <cellStyle name="Normal 2 2 28" xfId="317"/>
    <cellStyle name="Normal 2 2 29" xfId="318"/>
    <cellStyle name="Normal 2 2 3" xfId="319"/>
    <cellStyle name="Normal 2 2 30" xfId="320"/>
    <cellStyle name="Normal 2 2 31" xfId="321"/>
    <cellStyle name="Normal 2 2 32" xfId="322"/>
    <cellStyle name="Normal 2 2 33" xfId="323"/>
    <cellStyle name="Normal 2 2 34" xfId="324"/>
    <cellStyle name="Normal 2 2 35" xfId="325"/>
    <cellStyle name="Normal 2 2 36" xfId="326"/>
    <cellStyle name="Normal 2 2 37" xfId="327"/>
    <cellStyle name="Normal 2 2 38" xfId="328"/>
    <cellStyle name="Normal 2 2 39" xfId="329"/>
    <cellStyle name="Normal 2 2 4" xfId="330"/>
    <cellStyle name="Normal 2 2 40" xfId="331"/>
    <cellStyle name="Normal 2 2 41" xfId="332"/>
    <cellStyle name="Normal 2 2 42" xfId="333"/>
    <cellStyle name="Normal 2 2 43" xfId="334"/>
    <cellStyle name="Normal 2 2 44" xfId="335"/>
    <cellStyle name="Normal 2 2 45" xfId="336"/>
    <cellStyle name="Normal 2 2 46" xfId="337"/>
    <cellStyle name="Normal 2 2 47" xfId="338"/>
    <cellStyle name="Normal 2 2 48" xfId="339"/>
    <cellStyle name="Normal 2 2 49" xfId="653"/>
    <cellStyle name="Normal 2 2 5" xfId="340"/>
    <cellStyle name="Normal 2 2 50" xfId="654"/>
    <cellStyle name="Normal 2 2 51" xfId="297"/>
    <cellStyle name="Normal 2 2 6" xfId="341"/>
    <cellStyle name="Normal 2 2 7" xfId="342"/>
    <cellStyle name="Normal 2 2 8" xfId="343"/>
    <cellStyle name="Normal 2 2 9" xfId="344"/>
    <cellStyle name="Normal 2 2_ACCT" xfId="345"/>
    <cellStyle name="Normal 2 3" xfId="18"/>
    <cellStyle name="Normal 2 3 10" xfId="347"/>
    <cellStyle name="Normal 2 3 11" xfId="348"/>
    <cellStyle name="Normal 2 3 12" xfId="349"/>
    <cellStyle name="Normal 2 3 13" xfId="346"/>
    <cellStyle name="Normal 2 3 2" xfId="350"/>
    <cellStyle name="Normal 2 3 3" xfId="351"/>
    <cellStyle name="Normal 2 3 4" xfId="352"/>
    <cellStyle name="Normal 2 3 5" xfId="353"/>
    <cellStyle name="Normal 2 3 6" xfId="354"/>
    <cellStyle name="Normal 2 3 7" xfId="355"/>
    <cellStyle name="Normal 2 3 8" xfId="356"/>
    <cellStyle name="Normal 2 3 9" xfId="357"/>
    <cellStyle name="Normal 2 3_CPT" xfId="358"/>
    <cellStyle name="Normal 2 4" xfId="19"/>
    <cellStyle name="Normal 2 4 2" xfId="359"/>
    <cellStyle name="Normal 2 5" xfId="20"/>
    <cellStyle name="Normal 2 5 2" xfId="360"/>
    <cellStyle name="Normal 2 6" xfId="21"/>
    <cellStyle name="Normal 2 6 2" xfId="361"/>
    <cellStyle name="Normal 2 7" xfId="22"/>
    <cellStyle name="Normal 2 7 2" xfId="362"/>
    <cellStyle name="Normal 2 8" xfId="23"/>
    <cellStyle name="Normal 2 8 2" xfId="363"/>
    <cellStyle name="Normal 2 9" xfId="24"/>
    <cellStyle name="Normal 2 9 2" xfId="364"/>
    <cellStyle name="Normal 2_ACCT" xfId="655"/>
    <cellStyle name="Normal 20" xfId="365"/>
    <cellStyle name="Normal 20 10" xfId="366"/>
    <cellStyle name="Normal 20 11" xfId="367"/>
    <cellStyle name="Normal 20 12" xfId="368"/>
    <cellStyle name="Normal 20 13" xfId="911"/>
    <cellStyle name="Normal 20 2" xfId="369"/>
    <cellStyle name="Normal 20 3" xfId="370"/>
    <cellStyle name="Normal 20 4" xfId="371"/>
    <cellStyle name="Normal 20 5" xfId="372"/>
    <cellStyle name="Normal 20 6" xfId="373"/>
    <cellStyle name="Normal 20 7" xfId="374"/>
    <cellStyle name="Normal 20 8" xfId="375"/>
    <cellStyle name="Normal 20 9" xfId="376"/>
    <cellStyle name="Normal 21" xfId="377"/>
    <cellStyle name="Normal 21 2" xfId="912"/>
    <cellStyle name="Normal 22" xfId="378"/>
    <cellStyle name="Normal 22 2" xfId="913"/>
    <cellStyle name="Normal 23" xfId="379"/>
    <cellStyle name="Normal 23 2" xfId="914"/>
    <cellStyle name="Normal 24" xfId="380"/>
    <cellStyle name="Normal 24 2" xfId="915"/>
    <cellStyle name="Normal 25" xfId="381"/>
    <cellStyle name="Normal 25 2" xfId="916"/>
    <cellStyle name="Normal 26" xfId="382"/>
    <cellStyle name="Normal 26 2" xfId="917"/>
    <cellStyle name="Normal 27" xfId="383"/>
    <cellStyle name="Normal 27 2" xfId="918"/>
    <cellStyle name="Normal 28" xfId="384"/>
    <cellStyle name="Normal 28 2" xfId="919"/>
    <cellStyle name="Normal 29" xfId="385"/>
    <cellStyle name="Normal 29 2" xfId="920"/>
    <cellStyle name="Normal 3" xfId="8"/>
    <cellStyle name="Normal 3 2" xfId="25"/>
    <cellStyle name="Normal 3 2 2" xfId="921"/>
    <cellStyle name="Normal 3 2 3" xfId="922"/>
    <cellStyle name="Normal 3 2 4" xfId="923"/>
    <cellStyle name="Normal 3 2 5" xfId="387"/>
    <cellStyle name="Normal 3 2_MTD Receipts Dashboard" xfId="924"/>
    <cellStyle name="Normal 3 3" xfId="44"/>
    <cellStyle name="Normal 3 3 2" xfId="925"/>
    <cellStyle name="Normal 3 3 3" xfId="388"/>
    <cellStyle name="Normal 3 4" xfId="36"/>
    <cellStyle name="Normal 3 4 2" xfId="926"/>
    <cellStyle name="Normal 3 4 2 2" xfId="927"/>
    <cellStyle name="Normal 3 4 3" xfId="386"/>
    <cellStyle name="Normal 3 5" xfId="928"/>
    <cellStyle name="Normal 3 5 2" xfId="929"/>
    <cellStyle name="Normal 3 6" xfId="66"/>
    <cellStyle name="Normal 3 8" xfId="930"/>
    <cellStyle name="Normal 3_ACCT" xfId="656"/>
    <cellStyle name="Normal 30" xfId="389"/>
    <cellStyle name="Normal 30 2" xfId="931"/>
    <cellStyle name="Normal 31" xfId="390"/>
    <cellStyle name="Normal 31 2" xfId="932"/>
    <cellStyle name="Normal 32" xfId="391"/>
    <cellStyle name="Normal 32 2" xfId="933"/>
    <cellStyle name="Normal 33" xfId="392"/>
    <cellStyle name="Normal 33 2" xfId="934"/>
    <cellStyle name="Normal 34" xfId="393"/>
    <cellStyle name="Normal 35" xfId="394"/>
    <cellStyle name="Normal 36" xfId="395"/>
    <cellStyle name="Normal 37" xfId="396"/>
    <cellStyle name="Normal 38" xfId="397"/>
    <cellStyle name="Normal 39" xfId="398"/>
    <cellStyle name="Normal 4" xfId="26"/>
    <cellStyle name="Normal 4 2" xfId="27"/>
    <cellStyle name="Normal 4 2 2" xfId="400"/>
    <cellStyle name="Normal 4 3" xfId="401"/>
    <cellStyle name="Normal 4 4" xfId="935"/>
    <cellStyle name="Normal 4 5" xfId="399"/>
    <cellStyle name="Normal 4_ACCT" xfId="657"/>
    <cellStyle name="Normal 40" xfId="402"/>
    <cellStyle name="Normal 41" xfId="403"/>
    <cellStyle name="Normal 42" xfId="404"/>
    <cellStyle name="Normal 43" xfId="405"/>
    <cellStyle name="Normal 44" xfId="406"/>
    <cellStyle name="Normal 45" xfId="407"/>
    <cellStyle name="Normal 46" xfId="408"/>
    <cellStyle name="Normal 47" xfId="409"/>
    <cellStyle name="Normal 48" xfId="410"/>
    <cellStyle name="Normal 49" xfId="411"/>
    <cellStyle name="Normal 5" xfId="28"/>
    <cellStyle name="Normal 5 2" xfId="29"/>
    <cellStyle name="Normal 5 2 2" xfId="412"/>
    <cellStyle name="Normal 5 3" xfId="413"/>
    <cellStyle name="Normal 5 4" xfId="936"/>
    <cellStyle name="Normal 5 5" xfId="64"/>
    <cellStyle name="Normal 5_ACCT" xfId="658"/>
    <cellStyle name="Normal 50" xfId="414"/>
    <cellStyle name="Normal 51" xfId="415"/>
    <cellStyle name="Normal 52" xfId="416"/>
    <cellStyle name="Normal 53" xfId="417"/>
    <cellStyle name="Normal 54" xfId="418"/>
    <cellStyle name="Normal 55" xfId="419"/>
    <cellStyle name="Normal 56" xfId="420"/>
    <cellStyle name="Normal 57" xfId="421"/>
    <cellStyle name="Normal 58" xfId="422"/>
    <cellStyle name="Normal 59" xfId="423"/>
    <cellStyle name="Normal 6" xfId="30"/>
    <cellStyle name="Normal 6 2" xfId="46"/>
    <cellStyle name="Normal 6 2 2" xfId="937"/>
    <cellStyle name="Normal 6 2 3" xfId="425"/>
    <cellStyle name="Normal 6 3" xfId="38"/>
    <cellStyle name="Normal 6 3 2" xfId="426"/>
    <cellStyle name="Normal 6 4" xfId="424"/>
    <cellStyle name="Normal 6 5" xfId="938"/>
    <cellStyle name="Normal 6 6" xfId="65"/>
    <cellStyle name="Normal 6_ACCT" xfId="659"/>
    <cellStyle name="Normal 60" xfId="427"/>
    <cellStyle name="Normal 61" xfId="428"/>
    <cellStyle name="Normal 62" xfId="429"/>
    <cellStyle name="Normal 63" xfId="430"/>
    <cellStyle name="Normal 64" xfId="431"/>
    <cellStyle name="Normal 65" xfId="432"/>
    <cellStyle name="Normal 66" xfId="433"/>
    <cellStyle name="Normal 67" xfId="434"/>
    <cellStyle name="Normal 68" xfId="435"/>
    <cellStyle name="Normal 69" xfId="436"/>
    <cellStyle name="Normal 7" xfId="32"/>
    <cellStyle name="Normal 7 10" xfId="438"/>
    <cellStyle name="Normal 7 11" xfId="439"/>
    <cellStyle name="Normal 7 12" xfId="440"/>
    <cellStyle name="Normal 7 13" xfId="939"/>
    <cellStyle name="Normal 7 14" xfId="437"/>
    <cellStyle name="Normal 7 2" xfId="48"/>
    <cellStyle name="Normal 7 2 2" xfId="441"/>
    <cellStyle name="Normal 7 3" xfId="40"/>
    <cellStyle name="Normal 7 3 2" xfId="442"/>
    <cellStyle name="Normal 7 4" xfId="443"/>
    <cellStyle name="Normal 7 5" xfId="444"/>
    <cellStyle name="Normal 7 6" xfId="445"/>
    <cellStyle name="Normal 7 7" xfId="446"/>
    <cellStyle name="Normal 7 8" xfId="447"/>
    <cellStyle name="Normal 7 9" xfId="448"/>
    <cellStyle name="Normal 7_ACCT" xfId="660"/>
    <cellStyle name="Normal 70" xfId="449"/>
    <cellStyle name="Normal 71" xfId="450"/>
    <cellStyle name="Normal 72" xfId="451"/>
    <cellStyle name="Normal 73" xfId="661"/>
    <cellStyle name="Normal 74" xfId="662"/>
    <cellStyle name="Normal 75" xfId="940"/>
    <cellStyle name="Normal 75 2" xfId="941"/>
    <cellStyle name="Normal 76" xfId="942"/>
    <cellStyle name="Normal 77" xfId="943"/>
    <cellStyle name="Normal 78" xfId="944"/>
    <cellStyle name="Normal 79" xfId="945"/>
    <cellStyle name="Normal 79 2" xfId="946"/>
    <cellStyle name="Normal 8" xfId="34"/>
    <cellStyle name="Normal 8 10" xfId="453"/>
    <cellStyle name="Normal 8 11" xfId="454"/>
    <cellStyle name="Normal 8 12" xfId="455"/>
    <cellStyle name="Normal 8 13" xfId="947"/>
    <cellStyle name="Normal 8 14" xfId="452"/>
    <cellStyle name="Normal 8 2" xfId="50"/>
    <cellStyle name="Normal 8 2 2" xfId="456"/>
    <cellStyle name="Normal 8 3" xfId="42"/>
    <cellStyle name="Normal 8 3 2" xfId="457"/>
    <cellStyle name="Normal 8 4" xfId="458"/>
    <cellStyle name="Normal 8 5" xfId="459"/>
    <cellStyle name="Normal 8 6" xfId="460"/>
    <cellStyle name="Normal 8 7" xfId="461"/>
    <cellStyle name="Normal 8 8" xfId="462"/>
    <cellStyle name="Normal 8 9" xfId="463"/>
    <cellStyle name="Normal 8_ACCT" xfId="663"/>
    <cellStyle name="Normal 80" xfId="948"/>
    <cellStyle name="Normal 81" xfId="949"/>
    <cellStyle name="Normal 82" xfId="950"/>
    <cellStyle name="Normal 83" xfId="951"/>
    <cellStyle name="Normal 84" xfId="952"/>
    <cellStyle name="Normal 85" xfId="953"/>
    <cellStyle name="Normal 86" xfId="954"/>
    <cellStyle name="Normal 87" xfId="955"/>
    <cellStyle name="Normal 88" xfId="956"/>
    <cellStyle name="Normal 89" xfId="957"/>
    <cellStyle name="Normal 9" xfId="53"/>
    <cellStyle name="Normal 9 10" xfId="465"/>
    <cellStyle name="Normal 9 11" xfId="466"/>
    <cellStyle name="Normal 9 12" xfId="467"/>
    <cellStyle name="Normal 9 13" xfId="958"/>
    <cellStyle name="Normal 9 14" xfId="464"/>
    <cellStyle name="Normal 9 2" xfId="468"/>
    <cellStyle name="Normal 9 3" xfId="469"/>
    <cellStyle name="Normal 9 4" xfId="470"/>
    <cellStyle name="Normal 9 5" xfId="471"/>
    <cellStyle name="Normal 9 6" xfId="472"/>
    <cellStyle name="Normal 9 7" xfId="473"/>
    <cellStyle name="Normal 9 8" xfId="474"/>
    <cellStyle name="Normal 9 9" xfId="475"/>
    <cellStyle name="Normal 9_ACCT" xfId="664"/>
    <cellStyle name="Normal 90" xfId="959"/>
    <cellStyle name="Normal 91" xfId="960"/>
    <cellStyle name="Normal 92" xfId="961"/>
    <cellStyle name="Normal 93" xfId="962"/>
    <cellStyle name="Normal 94" xfId="963"/>
    <cellStyle name="Normal 95" xfId="964"/>
    <cellStyle name="Normal 96" xfId="965"/>
    <cellStyle name="Normal 97" xfId="966"/>
    <cellStyle name="Normal 98" xfId="967"/>
    <cellStyle name="Normal 99" xfId="968"/>
    <cellStyle name="Normal_CD-Oxford2" xfId="2"/>
    <cellStyle name="Note 2" xfId="665"/>
    <cellStyle name="Note 2 2" xfId="969"/>
    <cellStyle name="Note 2 2 2" xfId="1029"/>
    <cellStyle name="Note 2 2 2 2" xfId="1051"/>
    <cellStyle name="Note 2 2 2 2 2" xfId="1137"/>
    <cellStyle name="Note 2 2 2 2 2 2" xfId="1583"/>
    <cellStyle name="Note 2 2 2 2 3" xfId="1180"/>
    <cellStyle name="Note 2 2 2 2 3 2" xfId="1624"/>
    <cellStyle name="Note 2 2 2 2 4" xfId="1225"/>
    <cellStyle name="Note 2 2 2 2 4 2" xfId="1667"/>
    <cellStyle name="Note 2 2 2 2 5" xfId="1289"/>
    <cellStyle name="Note 2 2 2 2 5 2" xfId="1728"/>
    <cellStyle name="Note 2 2 2 2 6" xfId="1353"/>
    <cellStyle name="Note 2 2 2 2 6 2" xfId="1789"/>
    <cellStyle name="Note 2 2 2 2 7" xfId="1417"/>
    <cellStyle name="Note 2 2 2 2 7 2" xfId="1850"/>
    <cellStyle name="Note 2 2 2 2 8" xfId="1501"/>
    <cellStyle name="Note 2 2 2 3" xfId="1072"/>
    <cellStyle name="Note 2 2 2 3 2" xfId="1158"/>
    <cellStyle name="Note 2 2 2 3 2 2" xfId="1603"/>
    <cellStyle name="Note 2 2 2 3 3" xfId="1201"/>
    <cellStyle name="Note 2 2 2 3 3 2" xfId="1644"/>
    <cellStyle name="Note 2 2 2 3 4" xfId="1246"/>
    <cellStyle name="Note 2 2 2 3 4 2" xfId="1687"/>
    <cellStyle name="Note 2 2 2 3 5" xfId="1310"/>
    <cellStyle name="Note 2 2 2 3 5 2" xfId="1748"/>
    <cellStyle name="Note 2 2 2 3 6" xfId="1374"/>
    <cellStyle name="Note 2 2 2 3 6 2" xfId="1809"/>
    <cellStyle name="Note 2 2 2 3 7" xfId="1438"/>
    <cellStyle name="Note 2 2 2 3 7 2" xfId="1870"/>
    <cellStyle name="Note 2 2 2 3 8" xfId="1521"/>
    <cellStyle name="Note 2 2 2 4" xfId="1115"/>
    <cellStyle name="Note 2 2 2 4 2" xfId="1562"/>
    <cellStyle name="Note 2 2 2 5" xfId="1089"/>
    <cellStyle name="Note 2 2 2 5 2" xfId="1537"/>
    <cellStyle name="Note 2 2 2 6" xfId="1267"/>
    <cellStyle name="Note 2 2 2 6 2" xfId="1707"/>
    <cellStyle name="Note 2 2 2 7" xfId="1331"/>
    <cellStyle name="Note 2 2 2 7 2" xfId="1768"/>
    <cellStyle name="Note 2 2 2 8" xfId="1395"/>
    <cellStyle name="Note 2 2 2 8 2" xfId="1829"/>
    <cellStyle name="Note 2 2 2 9" xfId="1480"/>
    <cellStyle name="Note 2 2 3" xfId="1460"/>
    <cellStyle name="Note 2 3" xfId="970"/>
    <cellStyle name="Note 2 3 2" xfId="1030"/>
    <cellStyle name="Note 2 3 2 2" xfId="1052"/>
    <cellStyle name="Note 2 3 2 2 2" xfId="1138"/>
    <cellStyle name="Note 2 3 2 2 2 2" xfId="1584"/>
    <cellStyle name="Note 2 3 2 2 3" xfId="1181"/>
    <cellStyle name="Note 2 3 2 2 3 2" xfId="1625"/>
    <cellStyle name="Note 2 3 2 2 4" xfId="1226"/>
    <cellStyle name="Note 2 3 2 2 4 2" xfId="1668"/>
    <cellStyle name="Note 2 3 2 2 5" xfId="1290"/>
    <cellStyle name="Note 2 3 2 2 5 2" xfId="1729"/>
    <cellStyle name="Note 2 3 2 2 6" xfId="1354"/>
    <cellStyle name="Note 2 3 2 2 6 2" xfId="1790"/>
    <cellStyle name="Note 2 3 2 2 7" xfId="1418"/>
    <cellStyle name="Note 2 3 2 2 7 2" xfId="1851"/>
    <cellStyle name="Note 2 3 2 2 8" xfId="1502"/>
    <cellStyle name="Note 2 3 2 3" xfId="1073"/>
    <cellStyle name="Note 2 3 2 3 2" xfId="1159"/>
    <cellStyle name="Note 2 3 2 3 2 2" xfId="1604"/>
    <cellStyle name="Note 2 3 2 3 3" xfId="1202"/>
    <cellStyle name="Note 2 3 2 3 3 2" xfId="1645"/>
    <cellStyle name="Note 2 3 2 3 4" xfId="1247"/>
    <cellStyle name="Note 2 3 2 3 4 2" xfId="1688"/>
    <cellStyle name="Note 2 3 2 3 5" xfId="1311"/>
    <cellStyle name="Note 2 3 2 3 5 2" xfId="1749"/>
    <cellStyle name="Note 2 3 2 3 6" xfId="1375"/>
    <cellStyle name="Note 2 3 2 3 6 2" xfId="1810"/>
    <cellStyle name="Note 2 3 2 3 7" xfId="1439"/>
    <cellStyle name="Note 2 3 2 3 7 2" xfId="1871"/>
    <cellStyle name="Note 2 3 2 3 8" xfId="1522"/>
    <cellStyle name="Note 2 3 2 4" xfId="1116"/>
    <cellStyle name="Note 2 3 2 4 2" xfId="1563"/>
    <cellStyle name="Note 2 3 2 5" xfId="1090"/>
    <cellStyle name="Note 2 3 2 5 2" xfId="1538"/>
    <cellStyle name="Note 2 3 2 6" xfId="1268"/>
    <cellStyle name="Note 2 3 2 6 2" xfId="1708"/>
    <cellStyle name="Note 2 3 2 7" xfId="1332"/>
    <cellStyle name="Note 2 3 2 7 2" xfId="1769"/>
    <cellStyle name="Note 2 3 2 8" xfId="1396"/>
    <cellStyle name="Note 2 3 2 8 2" xfId="1830"/>
    <cellStyle name="Note 2 3 2 9" xfId="1481"/>
    <cellStyle name="Note 2 3 3" xfId="1461"/>
    <cellStyle name="Note 3" xfId="666"/>
    <cellStyle name="Note 3 2" xfId="971"/>
    <cellStyle name="Note 3 2 2" xfId="1031"/>
    <cellStyle name="Note 3 2 2 2" xfId="1053"/>
    <cellStyle name="Note 3 2 2 2 2" xfId="1139"/>
    <cellStyle name="Note 3 2 2 2 2 2" xfId="1585"/>
    <cellStyle name="Note 3 2 2 2 3" xfId="1182"/>
    <cellStyle name="Note 3 2 2 2 3 2" xfId="1626"/>
    <cellStyle name="Note 3 2 2 2 4" xfId="1227"/>
    <cellStyle name="Note 3 2 2 2 4 2" xfId="1669"/>
    <cellStyle name="Note 3 2 2 2 5" xfId="1291"/>
    <cellStyle name="Note 3 2 2 2 5 2" xfId="1730"/>
    <cellStyle name="Note 3 2 2 2 6" xfId="1355"/>
    <cellStyle name="Note 3 2 2 2 6 2" xfId="1791"/>
    <cellStyle name="Note 3 2 2 2 7" xfId="1419"/>
    <cellStyle name="Note 3 2 2 2 7 2" xfId="1852"/>
    <cellStyle name="Note 3 2 2 2 8" xfId="1503"/>
    <cellStyle name="Note 3 2 2 3" xfId="1074"/>
    <cellStyle name="Note 3 2 2 3 2" xfId="1160"/>
    <cellStyle name="Note 3 2 2 3 2 2" xfId="1605"/>
    <cellStyle name="Note 3 2 2 3 3" xfId="1203"/>
    <cellStyle name="Note 3 2 2 3 3 2" xfId="1646"/>
    <cellStyle name="Note 3 2 2 3 4" xfId="1248"/>
    <cellStyle name="Note 3 2 2 3 4 2" xfId="1689"/>
    <cellStyle name="Note 3 2 2 3 5" xfId="1312"/>
    <cellStyle name="Note 3 2 2 3 5 2" xfId="1750"/>
    <cellStyle name="Note 3 2 2 3 6" xfId="1376"/>
    <cellStyle name="Note 3 2 2 3 6 2" xfId="1811"/>
    <cellStyle name="Note 3 2 2 3 7" xfId="1440"/>
    <cellStyle name="Note 3 2 2 3 7 2" xfId="1872"/>
    <cellStyle name="Note 3 2 2 3 8" xfId="1523"/>
    <cellStyle name="Note 3 2 2 4" xfId="1117"/>
    <cellStyle name="Note 3 2 2 4 2" xfId="1564"/>
    <cellStyle name="Note 3 2 2 5" xfId="1091"/>
    <cellStyle name="Note 3 2 2 5 2" xfId="1539"/>
    <cellStyle name="Note 3 2 2 6" xfId="1269"/>
    <cellStyle name="Note 3 2 2 6 2" xfId="1709"/>
    <cellStyle name="Note 3 2 2 7" xfId="1333"/>
    <cellStyle name="Note 3 2 2 7 2" xfId="1770"/>
    <cellStyle name="Note 3 2 2 8" xfId="1397"/>
    <cellStyle name="Note 3 2 2 8 2" xfId="1831"/>
    <cellStyle name="Note 3 2 2 9" xfId="1482"/>
    <cellStyle name="Note 3 2 3" xfId="1462"/>
    <cellStyle name="Note 3 3" xfId="972"/>
    <cellStyle name="Note 3 3 2" xfId="1032"/>
    <cellStyle name="Note 3 3 2 2" xfId="1054"/>
    <cellStyle name="Note 3 3 2 2 2" xfId="1140"/>
    <cellStyle name="Note 3 3 2 2 2 2" xfId="1586"/>
    <cellStyle name="Note 3 3 2 2 3" xfId="1183"/>
    <cellStyle name="Note 3 3 2 2 3 2" xfId="1627"/>
    <cellStyle name="Note 3 3 2 2 4" xfId="1228"/>
    <cellStyle name="Note 3 3 2 2 4 2" xfId="1670"/>
    <cellStyle name="Note 3 3 2 2 5" xfId="1292"/>
    <cellStyle name="Note 3 3 2 2 5 2" xfId="1731"/>
    <cellStyle name="Note 3 3 2 2 6" xfId="1356"/>
    <cellStyle name="Note 3 3 2 2 6 2" xfId="1792"/>
    <cellStyle name="Note 3 3 2 2 7" xfId="1420"/>
    <cellStyle name="Note 3 3 2 2 7 2" xfId="1853"/>
    <cellStyle name="Note 3 3 2 2 8" xfId="1504"/>
    <cellStyle name="Note 3 3 2 3" xfId="1075"/>
    <cellStyle name="Note 3 3 2 3 2" xfId="1161"/>
    <cellStyle name="Note 3 3 2 3 2 2" xfId="1606"/>
    <cellStyle name="Note 3 3 2 3 3" xfId="1204"/>
    <cellStyle name="Note 3 3 2 3 3 2" xfId="1647"/>
    <cellStyle name="Note 3 3 2 3 4" xfId="1249"/>
    <cellStyle name="Note 3 3 2 3 4 2" xfId="1690"/>
    <cellStyle name="Note 3 3 2 3 5" xfId="1313"/>
    <cellStyle name="Note 3 3 2 3 5 2" xfId="1751"/>
    <cellStyle name="Note 3 3 2 3 6" xfId="1377"/>
    <cellStyle name="Note 3 3 2 3 6 2" xfId="1812"/>
    <cellStyle name="Note 3 3 2 3 7" xfId="1441"/>
    <cellStyle name="Note 3 3 2 3 7 2" xfId="1873"/>
    <cellStyle name="Note 3 3 2 3 8" xfId="1524"/>
    <cellStyle name="Note 3 3 2 4" xfId="1118"/>
    <cellStyle name="Note 3 3 2 4 2" xfId="1565"/>
    <cellStyle name="Note 3 3 2 5" xfId="1092"/>
    <cellStyle name="Note 3 3 2 5 2" xfId="1540"/>
    <cellStyle name="Note 3 3 2 6" xfId="1270"/>
    <cellStyle name="Note 3 3 2 6 2" xfId="1710"/>
    <cellStyle name="Note 3 3 2 7" xfId="1334"/>
    <cellStyle name="Note 3 3 2 7 2" xfId="1771"/>
    <cellStyle name="Note 3 3 2 8" xfId="1398"/>
    <cellStyle name="Note 3 3 2 8 2" xfId="1832"/>
    <cellStyle name="Note 3 3 2 9" xfId="1483"/>
    <cellStyle name="Note 3 3 3" xfId="1463"/>
    <cellStyle name="Note 4" xfId="667"/>
    <cellStyle name="Notes" xfId="476"/>
    <cellStyle name="Output 2" xfId="973"/>
    <cellStyle name="Output 2 2" xfId="974"/>
    <cellStyle name="Output 2 2 2" xfId="1033"/>
    <cellStyle name="Output 2 2 2 2" xfId="1055"/>
    <cellStyle name="Output 2 2 2 2 2" xfId="1141"/>
    <cellStyle name="Output 2 2 2 2 2 2" xfId="1587"/>
    <cellStyle name="Output 2 2 2 2 3" xfId="1184"/>
    <cellStyle name="Output 2 2 2 2 3 2" xfId="1628"/>
    <cellStyle name="Output 2 2 2 2 4" xfId="1229"/>
    <cellStyle name="Output 2 2 2 2 4 2" xfId="1671"/>
    <cellStyle name="Output 2 2 2 2 5" xfId="1293"/>
    <cellStyle name="Output 2 2 2 2 5 2" xfId="1732"/>
    <cellStyle name="Output 2 2 2 2 6" xfId="1357"/>
    <cellStyle name="Output 2 2 2 2 6 2" xfId="1793"/>
    <cellStyle name="Output 2 2 2 2 7" xfId="1421"/>
    <cellStyle name="Output 2 2 2 2 7 2" xfId="1854"/>
    <cellStyle name="Output 2 2 2 2 8" xfId="1505"/>
    <cellStyle name="Output 2 2 2 3" xfId="1076"/>
    <cellStyle name="Output 2 2 2 3 2" xfId="1162"/>
    <cellStyle name="Output 2 2 2 3 2 2" xfId="1607"/>
    <cellStyle name="Output 2 2 2 3 3" xfId="1205"/>
    <cellStyle name="Output 2 2 2 3 3 2" xfId="1648"/>
    <cellStyle name="Output 2 2 2 3 4" xfId="1250"/>
    <cellStyle name="Output 2 2 2 3 4 2" xfId="1691"/>
    <cellStyle name="Output 2 2 2 3 5" xfId="1314"/>
    <cellStyle name="Output 2 2 2 3 5 2" xfId="1752"/>
    <cellStyle name="Output 2 2 2 3 6" xfId="1378"/>
    <cellStyle name="Output 2 2 2 3 6 2" xfId="1813"/>
    <cellStyle name="Output 2 2 2 3 7" xfId="1442"/>
    <cellStyle name="Output 2 2 2 3 7 2" xfId="1874"/>
    <cellStyle name="Output 2 2 2 3 8" xfId="1525"/>
    <cellStyle name="Output 2 2 2 4" xfId="1119"/>
    <cellStyle name="Output 2 2 2 4 2" xfId="1566"/>
    <cellStyle name="Output 2 2 2 5" xfId="1093"/>
    <cellStyle name="Output 2 2 2 5 2" xfId="1541"/>
    <cellStyle name="Output 2 2 2 6" xfId="1271"/>
    <cellStyle name="Output 2 2 2 6 2" xfId="1711"/>
    <cellStyle name="Output 2 2 2 7" xfId="1335"/>
    <cellStyle name="Output 2 2 2 7 2" xfId="1772"/>
    <cellStyle name="Output 2 2 2 8" xfId="1399"/>
    <cellStyle name="Output 2 2 2 8 2" xfId="1833"/>
    <cellStyle name="Output 2 2 2 9" xfId="1484"/>
    <cellStyle name="Output 2 2 3" xfId="1464"/>
    <cellStyle name="Output 2 3" xfId="975"/>
    <cellStyle name="Output 2 3 2" xfId="1034"/>
    <cellStyle name="Output 2 3 2 2" xfId="1056"/>
    <cellStyle name="Output 2 3 2 2 2" xfId="1142"/>
    <cellStyle name="Output 2 3 2 2 2 2" xfId="1588"/>
    <cellStyle name="Output 2 3 2 2 3" xfId="1185"/>
    <cellStyle name="Output 2 3 2 2 3 2" xfId="1629"/>
    <cellStyle name="Output 2 3 2 2 4" xfId="1230"/>
    <cellStyle name="Output 2 3 2 2 4 2" xfId="1672"/>
    <cellStyle name="Output 2 3 2 2 5" xfId="1294"/>
    <cellStyle name="Output 2 3 2 2 5 2" xfId="1733"/>
    <cellStyle name="Output 2 3 2 2 6" xfId="1358"/>
    <cellStyle name="Output 2 3 2 2 6 2" xfId="1794"/>
    <cellStyle name="Output 2 3 2 2 7" xfId="1422"/>
    <cellStyle name="Output 2 3 2 2 7 2" xfId="1855"/>
    <cellStyle name="Output 2 3 2 2 8" xfId="1506"/>
    <cellStyle name="Output 2 3 2 3" xfId="1077"/>
    <cellStyle name="Output 2 3 2 3 2" xfId="1163"/>
    <cellStyle name="Output 2 3 2 3 2 2" xfId="1608"/>
    <cellStyle name="Output 2 3 2 3 3" xfId="1206"/>
    <cellStyle name="Output 2 3 2 3 3 2" xfId="1649"/>
    <cellStyle name="Output 2 3 2 3 4" xfId="1251"/>
    <cellStyle name="Output 2 3 2 3 4 2" xfId="1692"/>
    <cellStyle name="Output 2 3 2 3 5" xfId="1315"/>
    <cellStyle name="Output 2 3 2 3 5 2" xfId="1753"/>
    <cellStyle name="Output 2 3 2 3 6" xfId="1379"/>
    <cellStyle name="Output 2 3 2 3 6 2" xfId="1814"/>
    <cellStyle name="Output 2 3 2 3 7" xfId="1443"/>
    <cellStyle name="Output 2 3 2 3 7 2" xfId="1875"/>
    <cellStyle name="Output 2 3 2 3 8" xfId="1526"/>
    <cellStyle name="Output 2 3 2 4" xfId="1120"/>
    <cellStyle name="Output 2 3 2 4 2" xfId="1567"/>
    <cellStyle name="Output 2 3 2 5" xfId="1094"/>
    <cellStyle name="Output 2 3 2 5 2" xfId="1542"/>
    <cellStyle name="Output 2 3 2 6" xfId="1272"/>
    <cellStyle name="Output 2 3 2 6 2" xfId="1712"/>
    <cellStyle name="Output 2 3 2 7" xfId="1336"/>
    <cellStyle name="Output 2 3 2 7 2" xfId="1773"/>
    <cellStyle name="Output 2 3 2 8" xfId="1400"/>
    <cellStyle name="Output 2 3 2 8 2" xfId="1834"/>
    <cellStyle name="Output 2 3 2 9" xfId="1485"/>
    <cellStyle name="Output 2 3 3" xfId="1465"/>
    <cellStyle name="Output 3 2" xfId="976"/>
    <cellStyle name="Output 3 2 2" xfId="1035"/>
    <cellStyle name="Output 3 2 2 2" xfId="1057"/>
    <cellStyle name="Output 3 2 2 2 2" xfId="1143"/>
    <cellStyle name="Output 3 2 2 2 2 2" xfId="1589"/>
    <cellStyle name="Output 3 2 2 2 3" xfId="1186"/>
    <cellStyle name="Output 3 2 2 2 3 2" xfId="1630"/>
    <cellStyle name="Output 3 2 2 2 4" xfId="1231"/>
    <cellStyle name="Output 3 2 2 2 4 2" xfId="1673"/>
    <cellStyle name="Output 3 2 2 2 5" xfId="1295"/>
    <cellStyle name="Output 3 2 2 2 5 2" xfId="1734"/>
    <cellStyle name="Output 3 2 2 2 6" xfId="1359"/>
    <cellStyle name="Output 3 2 2 2 6 2" xfId="1795"/>
    <cellStyle name="Output 3 2 2 2 7" xfId="1423"/>
    <cellStyle name="Output 3 2 2 2 7 2" xfId="1856"/>
    <cellStyle name="Output 3 2 2 2 8" xfId="1507"/>
    <cellStyle name="Output 3 2 2 3" xfId="1078"/>
    <cellStyle name="Output 3 2 2 3 2" xfId="1164"/>
    <cellStyle name="Output 3 2 2 3 2 2" xfId="1609"/>
    <cellStyle name="Output 3 2 2 3 3" xfId="1207"/>
    <cellStyle name="Output 3 2 2 3 3 2" xfId="1650"/>
    <cellStyle name="Output 3 2 2 3 4" xfId="1252"/>
    <cellStyle name="Output 3 2 2 3 4 2" xfId="1693"/>
    <cellStyle name="Output 3 2 2 3 5" xfId="1316"/>
    <cellStyle name="Output 3 2 2 3 5 2" xfId="1754"/>
    <cellStyle name="Output 3 2 2 3 6" xfId="1380"/>
    <cellStyle name="Output 3 2 2 3 6 2" xfId="1815"/>
    <cellStyle name="Output 3 2 2 3 7" xfId="1444"/>
    <cellStyle name="Output 3 2 2 3 7 2" xfId="1876"/>
    <cellStyle name="Output 3 2 2 3 8" xfId="1527"/>
    <cellStyle name="Output 3 2 2 4" xfId="1121"/>
    <cellStyle name="Output 3 2 2 4 2" xfId="1568"/>
    <cellStyle name="Output 3 2 2 5" xfId="1102"/>
    <cellStyle name="Output 3 2 2 5 2" xfId="1550"/>
    <cellStyle name="Output 3 2 2 6" xfId="1273"/>
    <cellStyle name="Output 3 2 2 6 2" xfId="1713"/>
    <cellStyle name="Output 3 2 2 7" xfId="1337"/>
    <cellStyle name="Output 3 2 2 7 2" xfId="1774"/>
    <cellStyle name="Output 3 2 2 8" xfId="1401"/>
    <cellStyle name="Output 3 2 2 8 2" xfId="1835"/>
    <cellStyle name="Output 3 2 2 9" xfId="1486"/>
    <cellStyle name="Output 3 2 3" xfId="1466"/>
    <cellStyle name="Output 3 3" xfId="977"/>
    <cellStyle name="Output 3 3 2" xfId="1036"/>
    <cellStyle name="Output 3 3 2 2" xfId="1058"/>
    <cellStyle name="Output 3 3 2 2 2" xfId="1144"/>
    <cellStyle name="Output 3 3 2 2 2 2" xfId="1590"/>
    <cellStyle name="Output 3 3 2 2 3" xfId="1187"/>
    <cellStyle name="Output 3 3 2 2 3 2" xfId="1631"/>
    <cellStyle name="Output 3 3 2 2 4" xfId="1232"/>
    <cellStyle name="Output 3 3 2 2 4 2" xfId="1674"/>
    <cellStyle name="Output 3 3 2 2 5" xfId="1296"/>
    <cellStyle name="Output 3 3 2 2 5 2" xfId="1735"/>
    <cellStyle name="Output 3 3 2 2 6" xfId="1360"/>
    <cellStyle name="Output 3 3 2 2 6 2" xfId="1796"/>
    <cellStyle name="Output 3 3 2 2 7" xfId="1424"/>
    <cellStyle name="Output 3 3 2 2 7 2" xfId="1857"/>
    <cellStyle name="Output 3 3 2 2 8" xfId="1508"/>
    <cellStyle name="Output 3 3 2 3" xfId="1079"/>
    <cellStyle name="Output 3 3 2 3 2" xfId="1165"/>
    <cellStyle name="Output 3 3 2 3 2 2" xfId="1610"/>
    <cellStyle name="Output 3 3 2 3 3" xfId="1208"/>
    <cellStyle name="Output 3 3 2 3 3 2" xfId="1651"/>
    <cellStyle name="Output 3 3 2 3 4" xfId="1253"/>
    <cellStyle name="Output 3 3 2 3 4 2" xfId="1694"/>
    <cellStyle name="Output 3 3 2 3 5" xfId="1317"/>
    <cellStyle name="Output 3 3 2 3 5 2" xfId="1755"/>
    <cellStyle name="Output 3 3 2 3 6" xfId="1381"/>
    <cellStyle name="Output 3 3 2 3 6 2" xfId="1816"/>
    <cellStyle name="Output 3 3 2 3 7" xfId="1445"/>
    <cellStyle name="Output 3 3 2 3 7 2" xfId="1877"/>
    <cellStyle name="Output 3 3 2 3 8" xfId="1528"/>
    <cellStyle name="Output 3 3 2 4" xfId="1122"/>
    <cellStyle name="Output 3 3 2 4 2" xfId="1569"/>
    <cellStyle name="Output 3 3 2 5" xfId="1103"/>
    <cellStyle name="Output 3 3 2 5 2" xfId="1551"/>
    <cellStyle name="Output 3 3 2 6" xfId="1274"/>
    <cellStyle name="Output 3 3 2 6 2" xfId="1714"/>
    <cellStyle name="Output 3 3 2 7" xfId="1338"/>
    <cellStyle name="Output 3 3 2 7 2" xfId="1775"/>
    <cellStyle name="Output 3 3 2 8" xfId="1402"/>
    <cellStyle name="Output 3 3 2 8 2" xfId="1836"/>
    <cellStyle name="Output 3 3 2 9" xfId="1487"/>
    <cellStyle name="Output 3 3 3" xfId="1467"/>
    <cellStyle name="Output Amounts" xfId="477"/>
    <cellStyle name="Output Column Headings" xfId="478"/>
    <cellStyle name="Output Line Items" xfId="479"/>
    <cellStyle name="Output Report Heading" xfId="480"/>
    <cellStyle name="Output Report Title" xfId="481"/>
    <cellStyle name="Percent" xfId="3" builtinId="5"/>
    <cellStyle name="Percent [2]" xfId="668"/>
    <cellStyle name="Percent [2] 2" xfId="978"/>
    <cellStyle name="Percent [2] 3" xfId="979"/>
    <cellStyle name="Percent [2] 4" xfId="980"/>
    <cellStyle name="Percent 10" xfId="482"/>
    <cellStyle name="Percent 11" xfId="483"/>
    <cellStyle name="Percent 12" xfId="484"/>
    <cellStyle name="Percent 13" xfId="485"/>
    <cellStyle name="Percent 14" xfId="981"/>
    <cellStyle name="Percent 15" xfId="58"/>
    <cellStyle name="Percent 16" xfId="1887"/>
    <cellStyle name="Percent 2" xfId="5"/>
    <cellStyle name="Percent 2 2" xfId="487"/>
    <cellStyle name="Percent 2 2 2" xfId="488"/>
    <cellStyle name="Percent 2 2 3" xfId="489"/>
    <cellStyle name="Percent 2 3" xfId="486"/>
    <cellStyle name="Percent 2 4" xfId="61"/>
    <cellStyle name="Percent 3" xfId="9"/>
    <cellStyle name="Percent 3 2" xfId="45"/>
    <cellStyle name="Percent 3 2 2" xfId="982"/>
    <cellStyle name="Percent 3 3" xfId="37"/>
    <cellStyle name="Percent 3 4" xfId="63"/>
    <cellStyle name="Percent 4" xfId="31"/>
    <cellStyle name="Percent 4 2" xfId="47"/>
    <cellStyle name="Percent 4 2 2" xfId="983"/>
    <cellStyle name="Percent 4 3" xfId="39"/>
    <cellStyle name="Percent 4 4" xfId="490"/>
    <cellStyle name="Percent 5" xfId="33"/>
    <cellStyle name="Percent 5 2" xfId="49"/>
    <cellStyle name="Percent 5 2 2" xfId="984"/>
    <cellStyle name="Percent 5 3" xfId="41"/>
    <cellStyle name="Percent 5 4" xfId="491"/>
    <cellStyle name="Percent 6" xfId="35"/>
    <cellStyle name="Percent 6 2" xfId="51"/>
    <cellStyle name="Percent 6 3" xfId="43"/>
    <cellStyle name="Percent 6 4" xfId="492"/>
    <cellStyle name="Percent 7" xfId="493"/>
    <cellStyle name="Percent 8" xfId="494"/>
    <cellStyle name="Percent 9" xfId="495"/>
    <cellStyle name="Percent(1)" xfId="496"/>
    <cellStyle name="Percent(1) 2" xfId="497"/>
    <cellStyle name="Percent(1) 3" xfId="498"/>
    <cellStyle name="Percent(2)" xfId="499"/>
    <cellStyle name="Percent(2) 2" xfId="500"/>
    <cellStyle name="Percent(2) 3" xfId="501"/>
    <cellStyle name="Print" xfId="502"/>
    <cellStyle name="PRM" xfId="503"/>
    <cellStyle name="PRM 10" xfId="504"/>
    <cellStyle name="PRM 11" xfId="505"/>
    <cellStyle name="PRM 12" xfId="506"/>
    <cellStyle name="PRM 13" xfId="507"/>
    <cellStyle name="PRM 14" xfId="508"/>
    <cellStyle name="PRM 15" xfId="509"/>
    <cellStyle name="PRM 16" xfId="510"/>
    <cellStyle name="PRM 17" xfId="511"/>
    <cellStyle name="PRM 18" xfId="512"/>
    <cellStyle name="PRM 19" xfId="513"/>
    <cellStyle name="PRM 2" xfId="514"/>
    <cellStyle name="PRM 20" xfId="515"/>
    <cellStyle name="PRM 21" xfId="516"/>
    <cellStyle name="PRM 22" xfId="517"/>
    <cellStyle name="PRM 23" xfId="518"/>
    <cellStyle name="PRM 24" xfId="519"/>
    <cellStyle name="PRM 25" xfId="520"/>
    <cellStyle name="PRM 26" xfId="521"/>
    <cellStyle name="PRM 27" xfId="522"/>
    <cellStyle name="PRM 28" xfId="523"/>
    <cellStyle name="PRM 29" xfId="524"/>
    <cellStyle name="PRM 3" xfId="525"/>
    <cellStyle name="PRM 30" xfId="526"/>
    <cellStyle name="PRM 31" xfId="527"/>
    <cellStyle name="PRM 32" xfId="528"/>
    <cellStyle name="PRM 33" xfId="529"/>
    <cellStyle name="PRM 34" xfId="530"/>
    <cellStyle name="PRM 35" xfId="531"/>
    <cellStyle name="PRM 36" xfId="532"/>
    <cellStyle name="PRM 37" xfId="533"/>
    <cellStyle name="PRM 38" xfId="534"/>
    <cellStyle name="PRM 39" xfId="535"/>
    <cellStyle name="PRM 4" xfId="536"/>
    <cellStyle name="PRM 40" xfId="537"/>
    <cellStyle name="PRM 41" xfId="538"/>
    <cellStyle name="PRM 42" xfId="539"/>
    <cellStyle name="PRM 43" xfId="540"/>
    <cellStyle name="PRM 44" xfId="541"/>
    <cellStyle name="PRM 45" xfId="542"/>
    <cellStyle name="PRM 46" xfId="543"/>
    <cellStyle name="PRM 47" xfId="544"/>
    <cellStyle name="PRM 48" xfId="545"/>
    <cellStyle name="PRM 49" xfId="669"/>
    <cellStyle name="PRM 5" xfId="546"/>
    <cellStyle name="PRM 50" xfId="670"/>
    <cellStyle name="PRM 6" xfId="547"/>
    <cellStyle name="PRM 7" xfId="548"/>
    <cellStyle name="PRM 8" xfId="549"/>
    <cellStyle name="PRM 9" xfId="550"/>
    <cellStyle name="PRM_ACCT" xfId="551"/>
    <cellStyle name="PSChar" xfId="552"/>
    <cellStyle name="PSChar 2" xfId="553"/>
    <cellStyle name="PSChar 2 2" xfId="554"/>
    <cellStyle name="PSChar 2 3" xfId="555"/>
    <cellStyle name="PSChar 3" xfId="556"/>
    <cellStyle name="PSChar 3 2" xfId="557"/>
    <cellStyle name="PSChar 3 3" xfId="558"/>
    <cellStyle name="PSChar 4" xfId="559"/>
    <cellStyle name="PSChar 4 2" xfId="560"/>
    <cellStyle name="PSChar 4 3" xfId="561"/>
    <cellStyle name="PSChar 5" xfId="562"/>
    <cellStyle name="PSDate" xfId="563"/>
    <cellStyle name="PSDec" xfId="564"/>
    <cellStyle name="PSHeading" xfId="565"/>
    <cellStyle name="PSHeading 2" xfId="566"/>
    <cellStyle name="PSHeading 2 2" xfId="1451"/>
    <cellStyle name="PSHeading 3" xfId="1450"/>
    <cellStyle name="PSHeading_CPT" xfId="567"/>
    <cellStyle name="PSInt" xfId="568"/>
    <cellStyle name="PSSpacer" xfId="569"/>
    <cellStyle name="Save" xfId="570"/>
    <cellStyle name="Style 21" xfId="985"/>
    <cellStyle name="Style 22" xfId="986"/>
    <cellStyle name="Style 23" xfId="987"/>
    <cellStyle name="Style 24" xfId="988"/>
    <cellStyle name="Style 25" xfId="989"/>
    <cellStyle name="Style 26" xfId="990"/>
    <cellStyle name="Style 27" xfId="991"/>
    <cellStyle name="Style 28" xfId="992"/>
    <cellStyle name="Style 29" xfId="993"/>
    <cellStyle name="Style 30" xfId="994"/>
    <cellStyle name="Style 31" xfId="995"/>
    <cellStyle name="Style 32" xfId="996"/>
    <cellStyle name="Text_Bold" xfId="571"/>
    <cellStyle name="Title 2" xfId="997"/>
    <cellStyle name="Title 2 2" xfId="998"/>
    <cellStyle name="Title 2 3" xfId="999"/>
    <cellStyle name="Title 3 2" xfId="1000"/>
    <cellStyle name="Title 3 3" xfId="1001"/>
    <cellStyle name="Title12" xfId="572"/>
    <cellStyle name="Title12 10" xfId="573"/>
    <cellStyle name="Title12 11" xfId="574"/>
    <cellStyle name="Title12 12" xfId="575"/>
    <cellStyle name="Title12 13" xfId="576"/>
    <cellStyle name="Title12 14" xfId="577"/>
    <cellStyle name="Title12 15" xfId="578"/>
    <cellStyle name="Title12 16" xfId="579"/>
    <cellStyle name="Title12 17" xfId="580"/>
    <cellStyle name="Title12 18" xfId="581"/>
    <cellStyle name="Title12 19" xfId="582"/>
    <cellStyle name="Title12 2" xfId="583"/>
    <cellStyle name="Title12 20" xfId="584"/>
    <cellStyle name="Title12 21" xfId="585"/>
    <cellStyle name="Title12 22" xfId="586"/>
    <cellStyle name="Title12 23" xfId="587"/>
    <cellStyle name="Title12 24" xfId="588"/>
    <cellStyle name="Title12 25" xfId="589"/>
    <cellStyle name="Title12 26" xfId="590"/>
    <cellStyle name="Title12 27" xfId="591"/>
    <cellStyle name="Title12 28" xfId="592"/>
    <cellStyle name="Title12 29" xfId="593"/>
    <cellStyle name="Title12 3" xfId="594"/>
    <cellStyle name="Title12 30" xfId="595"/>
    <cellStyle name="Title12 31" xfId="596"/>
    <cellStyle name="Title12 32" xfId="597"/>
    <cellStyle name="Title12 33" xfId="598"/>
    <cellStyle name="Title12 34" xfId="599"/>
    <cellStyle name="Title12 35" xfId="600"/>
    <cellStyle name="Title12 36" xfId="601"/>
    <cellStyle name="Title12 37" xfId="602"/>
    <cellStyle name="Title12 38" xfId="603"/>
    <cellStyle name="Title12 39" xfId="604"/>
    <cellStyle name="Title12 4" xfId="605"/>
    <cellStyle name="Title12 40" xfId="606"/>
    <cellStyle name="Title12 41" xfId="607"/>
    <cellStyle name="Title12 42" xfId="608"/>
    <cellStyle name="Title12 43" xfId="609"/>
    <cellStyle name="Title12 44" xfId="610"/>
    <cellStyle name="Title12 45" xfId="611"/>
    <cellStyle name="Title12 46" xfId="612"/>
    <cellStyle name="Title12 47" xfId="613"/>
    <cellStyle name="Title12 48" xfId="614"/>
    <cellStyle name="Title12 49" xfId="671"/>
    <cellStyle name="Title12 5" xfId="615"/>
    <cellStyle name="Title12 50" xfId="672"/>
    <cellStyle name="Title12 6" xfId="616"/>
    <cellStyle name="Title12 7" xfId="617"/>
    <cellStyle name="Title12 8" xfId="618"/>
    <cellStyle name="Title12 9" xfId="619"/>
    <cellStyle name="Title12_ACCT" xfId="620"/>
    <cellStyle name="Title3" xfId="621"/>
    <cellStyle name="Total 2" xfId="673"/>
    <cellStyle name="Total 2 2" xfId="1002"/>
    <cellStyle name="Total 2 2 2" xfId="1037"/>
    <cellStyle name="Total 2 2 2 2" xfId="1059"/>
    <cellStyle name="Total 2 2 2 2 2" xfId="1145"/>
    <cellStyle name="Total 2 2 2 2 2 2" xfId="1591"/>
    <cellStyle name="Total 2 2 2 2 3" xfId="1188"/>
    <cellStyle name="Total 2 2 2 2 3 2" xfId="1632"/>
    <cellStyle name="Total 2 2 2 2 4" xfId="1233"/>
    <cellStyle name="Total 2 2 2 2 4 2" xfId="1675"/>
    <cellStyle name="Total 2 2 2 2 5" xfId="1297"/>
    <cellStyle name="Total 2 2 2 2 5 2" xfId="1736"/>
    <cellStyle name="Total 2 2 2 2 6" xfId="1361"/>
    <cellStyle name="Total 2 2 2 2 6 2" xfId="1797"/>
    <cellStyle name="Total 2 2 2 2 7" xfId="1425"/>
    <cellStyle name="Total 2 2 2 2 7 2" xfId="1858"/>
    <cellStyle name="Total 2 2 2 2 8" xfId="1509"/>
    <cellStyle name="Total 2 2 2 3" xfId="1080"/>
    <cellStyle name="Total 2 2 2 3 2" xfId="1166"/>
    <cellStyle name="Total 2 2 2 3 2 2" xfId="1611"/>
    <cellStyle name="Total 2 2 2 3 3" xfId="1209"/>
    <cellStyle name="Total 2 2 2 3 3 2" xfId="1652"/>
    <cellStyle name="Total 2 2 2 3 4" xfId="1254"/>
    <cellStyle name="Total 2 2 2 3 4 2" xfId="1695"/>
    <cellStyle name="Total 2 2 2 3 5" xfId="1318"/>
    <cellStyle name="Total 2 2 2 3 5 2" xfId="1756"/>
    <cellStyle name="Total 2 2 2 3 6" xfId="1382"/>
    <cellStyle name="Total 2 2 2 3 6 2" xfId="1817"/>
    <cellStyle name="Total 2 2 2 3 7" xfId="1446"/>
    <cellStyle name="Total 2 2 2 3 7 2" xfId="1878"/>
    <cellStyle name="Total 2 2 2 3 8" xfId="1529"/>
    <cellStyle name="Total 2 2 2 4" xfId="1123"/>
    <cellStyle name="Total 2 2 2 4 2" xfId="1570"/>
    <cellStyle name="Total 2 2 2 5" xfId="1104"/>
    <cellStyle name="Total 2 2 2 5 2" xfId="1552"/>
    <cellStyle name="Total 2 2 2 6" xfId="1275"/>
    <cellStyle name="Total 2 2 2 6 2" xfId="1715"/>
    <cellStyle name="Total 2 2 2 7" xfId="1339"/>
    <cellStyle name="Total 2 2 2 7 2" xfId="1776"/>
    <cellStyle name="Total 2 2 2 8" xfId="1403"/>
    <cellStyle name="Total 2 2 2 8 2" xfId="1837"/>
    <cellStyle name="Total 2 2 2 9" xfId="1488"/>
    <cellStyle name="Total 2 2 3" xfId="1468"/>
    <cellStyle name="Total 2 3" xfId="1003"/>
    <cellStyle name="Total 2 3 2" xfId="1038"/>
    <cellStyle name="Total 2 3 2 2" xfId="1060"/>
    <cellStyle name="Total 2 3 2 2 2" xfId="1146"/>
    <cellStyle name="Total 2 3 2 2 2 2" xfId="1592"/>
    <cellStyle name="Total 2 3 2 2 3" xfId="1189"/>
    <cellStyle name="Total 2 3 2 2 3 2" xfId="1633"/>
    <cellStyle name="Total 2 3 2 2 4" xfId="1234"/>
    <cellStyle name="Total 2 3 2 2 4 2" xfId="1676"/>
    <cellStyle name="Total 2 3 2 2 5" xfId="1298"/>
    <cellStyle name="Total 2 3 2 2 5 2" xfId="1737"/>
    <cellStyle name="Total 2 3 2 2 6" xfId="1362"/>
    <cellStyle name="Total 2 3 2 2 6 2" xfId="1798"/>
    <cellStyle name="Total 2 3 2 2 7" xfId="1426"/>
    <cellStyle name="Total 2 3 2 2 7 2" xfId="1859"/>
    <cellStyle name="Total 2 3 2 2 8" xfId="1510"/>
    <cellStyle name="Total 2 3 2 3" xfId="1081"/>
    <cellStyle name="Total 2 3 2 3 2" xfId="1167"/>
    <cellStyle name="Total 2 3 2 3 2 2" xfId="1612"/>
    <cellStyle name="Total 2 3 2 3 3" xfId="1210"/>
    <cellStyle name="Total 2 3 2 3 3 2" xfId="1653"/>
    <cellStyle name="Total 2 3 2 3 4" xfId="1255"/>
    <cellStyle name="Total 2 3 2 3 4 2" xfId="1696"/>
    <cellStyle name="Total 2 3 2 3 5" xfId="1319"/>
    <cellStyle name="Total 2 3 2 3 5 2" xfId="1757"/>
    <cellStyle name="Total 2 3 2 3 6" xfId="1383"/>
    <cellStyle name="Total 2 3 2 3 6 2" xfId="1818"/>
    <cellStyle name="Total 2 3 2 3 7" xfId="1447"/>
    <cellStyle name="Total 2 3 2 3 7 2" xfId="1879"/>
    <cellStyle name="Total 2 3 2 3 8" xfId="1530"/>
    <cellStyle name="Total 2 3 2 4" xfId="1124"/>
    <cellStyle name="Total 2 3 2 4 2" xfId="1571"/>
    <cellStyle name="Total 2 3 2 5" xfId="1095"/>
    <cellStyle name="Total 2 3 2 5 2" xfId="1543"/>
    <cellStyle name="Total 2 3 2 6" xfId="1276"/>
    <cellStyle name="Total 2 3 2 6 2" xfId="1716"/>
    <cellStyle name="Total 2 3 2 7" xfId="1340"/>
    <cellStyle name="Total 2 3 2 7 2" xfId="1777"/>
    <cellStyle name="Total 2 3 2 8" xfId="1404"/>
    <cellStyle name="Total 2 3 2 8 2" xfId="1838"/>
    <cellStyle name="Total 2 3 2 9" xfId="1489"/>
    <cellStyle name="Total 2 3 3" xfId="1469"/>
    <cellStyle name="Total 3" xfId="674"/>
    <cellStyle name="Total 3 2" xfId="1004"/>
    <cellStyle name="Total 3 2 2" xfId="1039"/>
    <cellStyle name="Total 3 2 2 2" xfId="1061"/>
    <cellStyle name="Total 3 2 2 2 2" xfId="1147"/>
    <cellStyle name="Total 3 2 2 2 2 2" xfId="1593"/>
    <cellStyle name="Total 3 2 2 2 3" xfId="1190"/>
    <cellStyle name="Total 3 2 2 2 3 2" xfId="1634"/>
    <cellStyle name="Total 3 2 2 2 4" xfId="1235"/>
    <cellStyle name="Total 3 2 2 2 4 2" xfId="1677"/>
    <cellStyle name="Total 3 2 2 2 5" xfId="1299"/>
    <cellStyle name="Total 3 2 2 2 5 2" xfId="1738"/>
    <cellStyle name="Total 3 2 2 2 6" xfId="1363"/>
    <cellStyle name="Total 3 2 2 2 6 2" xfId="1799"/>
    <cellStyle name="Total 3 2 2 2 7" xfId="1427"/>
    <cellStyle name="Total 3 2 2 2 7 2" xfId="1860"/>
    <cellStyle name="Total 3 2 2 2 8" xfId="1511"/>
    <cellStyle name="Total 3 2 2 3" xfId="1082"/>
    <cellStyle name="Total 3 2 2 3 2" xfId="1168"/>
    <cellStyle name="Total 3 2 2 3 2 2" xfId="1613"/>
    <cellStyle name="Total 3 2 2 3 3" xfId="1211"/>
    <cellStyle name="Total 3 2 2 3 3 2" xfId="1654"/>
    <cellStyle name="Total 3 2 2 3 4" xfId="1256"/>
    <cellStyle name="Total 3 2 2 3 4 2" xfId="1697"/>
    <cellStyle name="Total 3 2 2 3 5" xfId="1320"/>
    <cellStyle name="Total 3 2 2 3 5 2" xfId="1758"/>
    <cellStyle name="Total 3 2 2 3 6" xfId="1384"/>
    <cellStyle name="Total 3 2 2 3 6 2" xfId="1819"/>
    <cellStyle name="Total 3 2 2 3 7" xfId="1448"/>
    <cellStyle name="Total 3 2 2 3 7 2" xfId="1880"/>
    <cellStyle name="Total 3 2 2 3 8" xfId="1531"/>
    <cellStyle name="Total 3 2 2 4" xfId="1125"/>
    <cellStyle name="Total 3 2 2 4 2" xfId="1572"/>
    <cellStyle name="Total 3 2 2 5" xfId="1213"/>
    <cellStyle name="Total 3 2 2 5 2" xfId="1656"/>
    <cellStyle name="Total 3 2 2 6" xfId="1277"/>
    <cellStyle name="Total 3 2 2 6 2" xfId="1717"/>
    <cellStyle name="Total 3 2 2 7" xfId="1341"/>
    <cellStyle name="Total 3 2 2 7 2" xfId="1778"/>
    <cellStyle name="Total 3 2 2 8" xfId="1405"/>
    <cellStyle name="Total 3 2 2 8 2" xfId="1839"/>
    <cellStyle name="Total 3 2 2 9" xfId="1490"/>
    <cellStyle name="Total 3 2 3" xfId="1470"/>
    <cellStyle name="Total 3 3" xfId="1005"/>
    <cellStyle name="Total 3 3 2" xfId="1040"/>
    <cellStyle name="Total 3 3 2 2" xfId="1062"/>
    <cellStyle name="Total 3 3 2 2 2" xfId="1148"/>
    <cellStyle name="Total 3 3 2 2 2 2" xfId="1594"/>
    <cellStyle name="Total 3 3 2 2 3" xfId="1191"/>
    <cellStyle name="Total 3 3 2 2 3 2" xfId="1635"/>
    <cellStyle name="Total 3 3 2 2 4" xfId="1236"/>
    <cellStyle name="Total 3 3 2 2 4 2" xfId="1678"/>
    <cellStyle name="Total 3 3 2 2 5" xfId="1300"/>
    <cellStyle name="Total 3 3 2 2 5 2" xfId="1739"/>
    <cellStyle name="Total 3 3 2 2 6" xfId="1364"/>
    <cellStyle name="Total 3 3 2 2 6 2" xfId="1800"/>
    <cellStyle name="Total 3 3 2 2 7" xfId="1428"/>
    <cellStyle name="Total 3 3 2 2 7 2" xfId="1861"/>
    <cellStyle name="Total 3 3 2 2 8" xfId="1512"/>
    <cellStyle name="Total 3 3 2 3" xfId="1083"/>
    <cellStyle name="Total 3 3 2 3 2" xfId="1169"/>
    <cellStyle name="Total 3 3 2 3 2 2" xfId="1614"/>
    <cellStyle name="Total 3 3 2 3 3" xfId="1212"/>
    <cellStyle name="Total 3 3 2 3 3 2" xfId="1655"/>
    <cellStyle name="Total 3 3 2 3 4" xfId="1257"/>
    <cellStyle name="Total 3 3 2 3 4 2" xfId="1698"/>
    <cellStyle name="Total 3 3 2 3 5" xfId="1321"/>
    <cellStyle name="Total 3 3 2 3 5 2" xfId="1759"/>
    <cellStyle name="Total 3 3 2 3 6" xfId="1385"/>
    <cellStyle name="Total 3 3 2 3 6 2" xfId="1820"/>
    <cellStyle name="Total 3 3 2 3 7" xfId="1449"/>
    <cellStyle name="Total 3 3 2 3 7 2" xfId="1881"/>
    <cellStyle name="Total 3 3 2 3 8" xfId="1532"/>
    <cellStyle name="Total 3 3 2 4" xfId="1126"/>
    <cellStyle name="Total 3 3 2 4 2" xfId="1573"/>
    <cellStyle name="Total 3 3 2 5" xfId="1214"/>
    <cellStyle name="Total 3 3 2 5 2" xfId="1657"/>
    <cellStyle name="Total 3 3 2 6" xfId="1278"/>
    <cellStyle name="Total 3 3 2 6 2" xfId="1718"/>
    <cellStyle name="Total 3 3 2 7" xfId="1342"/>
    <cellStyle name="Total 3 3 2 7 2" xfId="1779"/>
    <cellStyle name="Total 3 3 2 8" xfId="1406"/>
    <cellStyle name="Total 3 3 2 8 2" xfId="1840"/>
    <cellStyle name="Total 3 3 2 9" xfId="1491"/>
    <cellStyle name="Total 3 3 3" xfId="1471"/>
    <cellStyle name="Total 4" xfId="675"/>
    <cellStyle name="Total 5" xfId="1006"/>
    <cellStyle name="Tusental (0)_laroux" xfId="676"/>
    <cellStyle name="Tusental_laroux" xfId="677"/>
    <cellStyle name="Valuta (0)_laroux" xfId="678"/>
    <cellStyle name="Valuta_laroux" xfId="679"/>
    <cellStyle name="Warning Text 2 2" xfId="1007"/>
    <cellStyle name="Warning Text 2 3" xfId="1008"/>
    <cellStyle name="Warning Text 3 2" xfId="1009"/>
    <cellStyle name="Warning Text 3 3" xfId="10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Funds%20Flow\Committees\Committee%20Website\Proforma_Residents_FY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elsontm\AppData\Local\Microsoft\Windows\INetCache\Content.Outlook\UBPJ5RBV\FY23_Proforma_CLINICAL_Template_Updated-61622Draf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Funds%20Flow\FY%2018%20model\Physician\MGMA%203%20Year%20AVG%20wRVU%20and%20Low%20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orma"/>
      <sheetName val="FY21 Rates"/>
      <sheetName val="Calculations"/>
      <sheetName val="Proforma Draft 1"/>
      <sheetName val="Reimb Detail"/>
      <sheetName val="Hours"/>
      <sheetName val="Open Spons"/>
      <sheetName val="Lists"/>
      <sheetName val="FY19 Specialty"/>
      <sheetName val="FY20 Specialty"/>
      <sheetName val="FY20 wRVU Changes"/>
      <sheetName val="Specialty Lookup"/>
      <sheetName val="Count of Providers as of 1.18"/>
      <sheetName val="Peds Boost"/>
      <sheetName val="Count of Providers as of Jan 18"/>
      <sheetName val="Low N 2018"/>
    </sheetNames>
    <sheetDataSet>
      <sheetData sheetId="0"/>
      <sheetData sheetId="1"/>
      <sheetData sheetId="2"/>
      <sheetData sheetId="3"/>
      <sheetData sheetId="4"/>
      <sheetData sheetId="5"/>
      <sheetData sheetId="6"/>
      <sheetData sheetId="7">
        <row r="2">
          <cell r="A2" t="str">
            <v>&lt;Select&gt;</v>
          </cell>
        </row>
        <row r="3">
          <cell r="A3" t="str">
            <v>Dean's Funds</v>
          </cell>
        </row>
        <row r="4">
          <cell r="A4" t="str">
            <v>Enterprise Funds</v>
          </cell>
        </row>
        <row r="5">
          <cell r="A5" t="str">
            <v>Department Role</v>
          </cell>
        </row>
        <row r="6">
          <cell r="A6" t="str">
            <v>Education Role</v>
          </cell>
        </row>
        <row r="7">
          <cell r="A7" t="str">
            <v>Hospital Contracts</v>
          </cell>
        </row>
        <row r="8">
          <cell r="A8" t="str">
            <v>Contracts &amp; Grants</v>
          </cell>
        </row>
        <row r="9">
          <cell r="A9" t="str">
            <v>Outside Contracts</v>
          </cell>
        </row>
        <row r="10">
          <cell r="A10" t="str">
            <v>External Dept</v>
          </cell>
        </row>
        <row r="11">
          <cell r="A11" t="str">
            <v>UCRF</v>
          </cell>
        </row>
        <row r="12">
          <cell r="A12" t="str">
            <v>Other</v>
          </cell>
        </row>
      </sheetData>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ions rev"/>
      <sheetName val="Questions"/>
      <sheetName val="Proforma"/>
      <sheetName val="FY23 Rates"/>
      <sheetName val="Lists"/>
      <sheetName val="Specialty"/>
      <sheetName val="Count of Providers as of Jan 18"/>
      <sheetName val="FY21 wRVU Changes"/>
      <sheetName val="Low N 2018"/>
      <sheetName val="Specialty Lookup"/>
    </sheetNames>
    <sheetDataSet>
      <sheetData sheetId="0"/>
      <sheetData sheetId="1"/>
      <sheetData sheetId="2"/>
      <sheetData sheetId="3"/>
      <sheetData sheetId="4">
        <row r="2">
          <cell r="A2" t="str">
            <v>&lt;Select&gt;</v>
          </cell>
        </row>
        <row r="3">
          <cell r="A3" t="str">
            <v>Dean's Funds</v>
          </cell>
          <cell r="G3" t="str">
            <v>&lt;Select Dept ID&gt;</v>
          </cell>
          <cell r="H3" t="str">
            <v>Department</v>
          </cell>
        </row>
        <row r="4">
          <cell r="A4" t="str">
            <v>Enterprise Funds</v>
          </cell>
          <cell r="G4">
            <v>4112</v>
          </cell>
          <cell r="H4" t="str">
            <v>Emergency Medicine</v>
          </cell>
        </row>
        <row r="5">
          <cell r="A5" t="str">
            <v>Department Role</v>
          </cell>
          <cell r="G5">
            <v>4114</v>
          </cell>
          <cell r="H5" t="str">
            <v>Medicine</v>
          </cell>
        </row>
        <row r="6">
          <cell r="A6" t="str">
            <v>Education Role</v>
          </cell>
          <cell r="G6">
            <v>4116</v>
          </cell>
          <cell r="H6" t="str">
            <v>Family Medicine</v>
          </cell>
        </row>
        <row r="7">
          <cell r="A7" t="str">
            <v>Hospital Contracts</v>
          </cell>
          <cell r="G7">
            <v>4118</v>
          </cell>
          <cell r="H7" t="str">
            <v>Neurology</v>
          </cell>
        </row>
        <row r="8">
          <cell r="A8" t="str">
            <v>Contracts &amp; Grants</v>
          </cell>
          <cell r="G8">
            <v>4120</v>
          </cell>
          <cell r="H8" t="str">
            <v>Pediatrics</v>
          </cell>
        </row>
        <row r="9">
          <cell r="A9" t="str">
            <v>Outside Contracts</v>
          </cell>
          <cell r="G9">
            <v>4122</v>
          </cell>
          <cell r="H9" t="str">
            <v>Psychiatry</v>
          </cell>
        </row>
        <row r="10">
          <cell r="A10" t="str">
            <v>External Dept</v>
          </cell>
          <cell r="G10">
            <v>4124</v>
          </cell>
          <cell r="H10" t="str">
            <v>Obstetrics Gynecology</v>
          </cell>
        </row>
        <row r="11">
          <cell r="A11" t="str">
            <v>UCRF</v>
          </cell>
          <cell r="G11">
            <v>4126</v>
          </cell>
          <cell r="H11" t="str">
            <v>Dermatology</v>
          </cell>
        </row>
        <row r="12">
          <cell r="A12" t="str">
            <v>Other</v>
          </cell>
          <cell r="G12">
            <v>4128</v>
          </cell>
          <cell r="H12" t="str">
            <v>Radiology</v>
          </cell>
        </row>
        <row r="13">
          <cell r="G13">
            <v>4130</v>
          </cell>
          <cell r="H13" t="str">
            <v>Radiation Oncology</v>
          </cell>
        </row>
        <row r="14">
          <cell r="G14">
            <v>4132</v>
          </cell>
          <cell r="H14" t="str">
            <v>Ophthalmology</v>
          </cell>
        </row>
        <row r="15">
          <cell r="G15">
            <v>4134</v>
          </cell>
          <cell r="H15" t="str">
            <v>Physical Medicine Rehab</v>
          </cell>
        </row>
        <row r="16">
          <cell r="G16">
            <v>4136</v>
          </cell>
          <cell r="H16" t="str">
            <v>Anesthesiology</v>
          </cell>
        </row>
        <row r="17">
          <cell r="G17">
            <v>4138</v>
          </cell>
          <cell r="H17" t="str">
            <v>Pathology Lab Med</v>
          </cell>
        </row>
        <row r="18">
          <cell r="G18">
            <v>4140</v>
          </cell>
          <cell r="H18" t="str">
            <v>Surgery</v>
          </cell>
        </row>
        <row r="19">
          <cell r="G19">
            <v>4141</v>
          </cell>
          <cell r="H19" t="str">
            <v>Urology</v>
          </cell>
        </row>
        <row r="20">
          <cell r="G20">
            <v>4142</v>
          </cell>
          <cell r="H20" t="str">
            <v>Neurosurgery</v>
          </cell>
        </row>
        <row r="21">
          <cell r="G21">
            <v>4144</v>
          </cell>
          <cell r="H21" t="str">
            <v>Otolaryngology (Ent)</v>
          </cell>
        </row>
        <row r="22">
          <cell r="G22">
            <v>4146</v>
          </cell>
          <cell r="H22" t="str">
            <v>Orthopaedics</v>
          </cell>
        </row>
        <row r="26">
          <cell r="G26" t="str">
            <v>Track</v>
          </cell>
        </row>
        <row r="27">
          <cell r="G27" t="str">
            <v>Open</v>
          </cell>
        </row>
        <row r="28">
          <cell r="G28" t="str">
            <v>Fixed-Term</v>
          </cell>
        </row>
        <row r="29">
          <cell r="G29" t="str">
            <v>Tenure</v>
          </cell>
        </row>
        <row r="30">
          <cell r="G30" t="str">
            <v>Tenure Track</v>
          </cell>
        </row>
        <row r="33">
          <cell r="G33" t="str">
            <v>Term</v>
          </cell>
        </row>
        <row r="34">
          <cell r="G34">
            <v>1</v>
          </cell>
        </row>
        <row r="35">
          <cell r="G35">
            <v>2</v>
          </cell>
        </row>
        <row r="36">
          <cell r="G36">
            <v>3</v>
          </cell>
        </row>
        <row r="37">
          <cell r="G37">
            <v>4</v>
          </cell>
        </row>
        <row r="38">
          <cell r="G38">
            <v>5</v>
          </cell>
        </row>
      </sheetData>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GMA 3 Year AVG wRVU"/>
      <sheetName val="2014"/>
      <sheetName val="2015"/>
      <sheetName val="2016"/>
      <sheetName val="2017"/>
      <sheetName val="2018"/>
    </sheetNames>
    <sheetDataSet>
      <sheetData sheetId="0"/>
      <sheetData sheetId="1"/>
      <sheetData sheetId="2"/>
      <sheetData sheetId="3"/>
      <sheetData sheetId="4">
        <row r="1">
          <cell r="B1" t="str">
            <v>MGMA Specialty</v>
          </cell>
          <cell r="C1" t="str">
            <v>Group Count</v>
          </cell>
          <cell r="D1" t="str">
            <v>Provider Count</v>
          </cell>
          <cell r="E1" t="str">
            <v>MGMA wRVU Mean</v>
          </cell>
          <cell r="F1" t="str">
            <v>MGMA wRVU Std Dev</v>
          </cell>
          <cell r="G1" t="str">
            <v>MGMA wRVU 10th %tile</v>
          </cell>
          <cell r="H1" t="str">
            <v>MGMA wRVU 25th %tile</v>
          </cell>
          <cell r="I1" t="str">
            <v>MGMA wRVU Median</v>
          </cell>
        </row>
        <row r="2">
          <cell r="B2" t="str">
            <v>Allergy/Immunology</v>
          </cell>
          <cell r="C2">
            <v>9</v>
          </cell>
          <cell r="D2">
            <v>13</v>
          </cell>
          <cell r="E2">
            <v>3262</v>
          </cell>
          <cell r="F2">
            <v>1247</v>
          </cell>
          <cell r="G2">
            <v>1342</v>
          </cell>
          <cell r="H2">
            <v>2303</v>
          </cell>
          <cell r="I2">
            <v>3362</v>
          </cell>
        </row>
        <row r="3">
          <cell r="B3" t="str">
            <v>Anesthesiology: Pain Management</v>
          </cell>
          <cell r="C3">
            <v>14</v>
          </cell>
          <cell r="D3">
            <v>33</v>
          </cell>
          <cell r="E3">
            <v>5120</v>
          </cell>
          <cell r="F3">
            <v>3075</v>
          </cell>
          <cell r="G3">
            <v>1933</v>
          </cell>
          <cell r="H3">
            <v>3000</v>
          </cell>
          <cell r="I3">
            <v>4502</v>
          </cell>
        </row>
        <row r="4">
          <cell r="B4" t="str">
            <v>Cardiology: Electrophysiology</v>
          </cell>
          <cell r="C4">
            <v>7</v>
          </cell>
          <cell r="D4">
            <v>25</v>
          </cell>
          <cell r="E4">
            <v>10680</v>
          </cell>
          <cell r="F4">
            <v>4378</v>
          </cell>
          <cell r="G4">
            <v>6104</v>
          </cell>
          <cell r="H4">
            <v>8624</v>
          </cell>
          <cell r="I4">
            <v>9587</v>
          </cell>
        </row>
        <row r="5">
          <cell r="B5" t="str">
            <v>Cardiology: Invasive</v>
          </cell>
          <cell r="C5">
            <v>10</v>
          </cell>
          <cell r="D5">
            <v>52</v>
          </cell>
          <cell r="E5">
            <v>9209</v>
          </cell>
          <cell r="F5">
            <v>4034</v>
          </cell>
          <cell r="G5">
            <v>4678</v>
          </cell>
          <cell r="H5">
            <v>5747</v>
          </cell>
          <cell r="I5">
            <v>8642</v>
          </cell>
        </row>
        <row r="6">
          <cell r="B6" t="str">
            <v>Cardiology: Invasive-Interventional</v>
          </cell>
          <cell r="C6">
            <v>15</v>
          </cell>
          <cell r="D6">
            <v>53</v>
          </cell>
          <cell r="E6">
            <v>9113</v>
          </cell>
          <cell r="F6">
            <v>2857</v>
          </cell>
          <cell r="G6">
            <v>5395</v>
          </cell>
          <cell r="H6">
            <v>6811</v>
          </cell>
          <cell r="I6">
            <v>9029</v>
          </cell>
        </row>
        <row r="7">
          <cell r="B7" t="str">
            <v>Cardiology: Noninvasive</v>
          </cell>
          <cell r="C7">
            <v>15</v>
          </cell>
          <cell r="D7">
            <v>127</v>
          </cell>
          <cell r="E7">
            <v>7039</v>
          </cell>
          <cell r="F7">
            <v>3036</v>
          </cell>
          <cell r="G7">
            <v>3340</v>
          </cell>
          <cell r="H7">
            <v>4927</v>
          </cell>
          <cell r="I7">
            <v>6469</v>
          </cell>
        </row>
        <row r="8">
          <cell r="B8" t="str">
            <v>Critical Care: Intensivist</v>
          </cell>
          <cell r="C8">
            <v>5</v>
          </cell>
          <cell r="D8">
            <v>12</v>
          </cell>
          <cell r="E8">
            <v>5600</v>
          </cell>
          <cell r="F8">
            <v>1670</v>
          </cell>
          <cell r="G8">
            <v>3538</v>
          </cell>
          <cell r="H8">
            <v>4157</v>
          </cell>
          <cell r="I8">
            <v>5369</v>
          </cell>
        </row>
        <row r="9">
          <cell r="B9" t="str">
            <v>Dentistry</v>
          </cell>
          <cell r="C9">
            <v>1</v>
          </cell>
          <cell r="D9">
            <v>1</v>
          </cell>
          <cell r="E9">
            <v>0</v>
          </cell>
          <cell r="F9">
            <v>0</v>
          </cell>
          <cell r="G9">
            <v>0</v>
          </cell>
          <cell r="H9">
            <v>0</v>
          </cell>
          <cell r="I9">
            <v>0</v>
          </cell>
        </row>
        <row r="10">
          <cell r="B10" t="str">
            <v>Dermatology</v>
          </cell>
          <cell r="C10">
            <v>14</v>
          </cell>
          <cell r="D10">
            <v>60</v>
          </cell>
          <cell r="E10">
            <v>8024</v>
          </cell>
          <cell r="F10">
            <v>4383</v>
          </cell>
          <cell r="G10">
            <v>3603</v>
          </cell>
          <cell r="H10">
            <v>4649</v>
          </cell>
          <cell r="I10">
            <v>6588</v>
          </cell>
        </row>
        <row r="11">
          <cell r="B11" t="str">
            <v>Dermatology: Dermatopathology</v>
          </cell>
          <cell r="C11">
            <v>5</v>
          </cell>
          <cell r="D11">
            <v>7</v>
          </cell>
          <cell r="E11">
            <v>0</v>
          </cell>
          <cell r="F11">
            <v>0</v>
          </cell>
          <cell r="G11">
            <v>0</v>
          </cell>
          <cell r="H11">
            <v>0</v>
          </cell>
          <cell r="I11">
            <v>0</v>
          </cell>
        </row>
        <row r="12">
          <cell r="B12" t="str">
            <v>Dermatology: Mohs Surgery</v>
          </cell>
          <cell r="C12">
            <v>6</v>
          </cell>
          <cell r="D12">
            <v>12</v>
          </cell>
          <cell r="E12">
            <v>21835</v>
          </cell>
          <cell r="F12">
            <v>6815</v>
          </cell>
          <cell r="G12">
            <v>11085</v>
          </cell>
          <cell r="H12">
            <v>16708</v>
          </cell>
          <cell r="I12">
            <v>21157</v>
          </cell>
        </row>
        <row r="13">
          <cell r="B13" t="str">
            <v>Emergency Medicine</v>
          </cell>
          <cell r="C13">
            <v>12</v>
          </cell>
          <cell r="D13">
            <v>275</v>
          </cell>
          <cell r="E13">
            <v>8730</v>
          </cell>
          <cell r="F13">
            <v>3876</v>
          </cell>
          <cell r="G13">
            <v>3813</v>
          </cell>
          <cell r="H13">
            <v>6092</v>
          </cell>
          <cell r="I13">
            <v>8382</v>
          </cell>
        </row>
        <row r="14">
          <cell r="B14" t="str">
            <v>Endocrinology/Metabolism</v>
          </cell>
          <cell r="C14">
            <v>17</v>
          </cell>
          <cell r="D14">
            <v>51</v>
          </cell>
          <cell r="E14">
            <v>4441</v>
          </cell>
          <cell r="F14">
            <v>1781</v>
          </cell>
          <cell r="G14">
            <v>2313</v>
          </cell>
          <cell r="H14">
            <v>3190</v>
          </cell>
          <cell r="I14">
            <v>4103</v>
          </cell>
        </row>
        <row r="15">
          <cell r="B15" t="str">
            <v>Family Medicine (with OB)</v>
          </cell>
          <cell r="C15">
            <v>14</v>
          </cell>
          <cell r="D15">
            <v>71</v>
          </cell>
          <cell r="E15">
            <v>5276</v>
          </cell>
          <cell r="F15">
            <v>1945</v>
          </cell>
          <cell r="G15">
            <v>2390</v>
          </cell>
          <cell r="H15">
            <v>3886</v>
          </cell>
          <cell r="I15">
            <v>5343</v>
          </cell>
        </row>
        <row r="16">
          <cell r="B16" t="str">
            <v>Family Medicine (without OB)</v>
          </cell>
          <cell r="C16">
            <v>25</v>
          </cell>
          <cell r="D16">
            <v>152</v>
          </cell>
          <cell r="E16">
            <v>4521</v>
          </cell>
          <cell r="F16">
            <v>1755</v>
          </cell>
          <cell r="G16">
            <v>1845</v>
          </cell>
          <cell r="H16">
            <v>3466</v>
          </cell>
          <cell r="I16">
            <v>4770</v>
          </cell>
        </row>
        <row r="17">
          <cell r="B17" t="str">
            <v>Family Medicine: Ambulatory Only (No Inpatient Work)</v>
          </cell>
          <cell r="C17">
            <v>5</v>
          </cell>
          <cell r="D17">
            <v>9</v>
          </cell>
          <cell r="E17">
            <v>0</v>
          </cell>
          <cell r="F17">
            <v>0</v>
          </cell>
          <cell r="G17">
            <v>0</v>
          </cell>
          <cell r="H17">
            <v>0</v>
          </cell>
          <cell r="I17">
            <v>0</v>
          </cell>
        </row>
        <row r="18">
          <cell r="B18" t="str">
            <v>Family Medicine: Sports Medicine</v>
          </cell>
          <cell r="C18">
            <v>11</v>
          </cell>
          <cell r="D18">
            <v>14</v>
          </cell>
          <cell r="E18">
            <v>5398</v>
          </cell>
          <cell r="F18">
            <v>1768</v>
          </cell>
          <cell r="G18">
            <v>2960</v>
          </cell>
          <cell r="H18">
            <v>3863</v>
          </cell>
          <cell r="I18">
            <v>5543</v>
          </cell>
        </row>
        <row r="19">
          <cell r="B19" t="str">
            <v>Gastroenterology</v>
          </cell>
          <cell r="C19">
            <v>22</v>
          </cell>
          <cell r="D19">
            <v>120</v>
          </cell>
          <cell r="E19">
            <v>8525</v>
          </cell>
          <cell r="F19">
            <v>4476</v>
          </cell>
          <cell r="G19">
            <v>3807</v>
          </cell>
          <cell r="H19">
            <v>5577</v>
          </cell>
          <cell r="I19">
            <v>7920</v>
          </cell>
        </row>
        <row r="20">
          <cell r="B20" t="str">
            <v>Gastroenterology: Hepatology</v>
          </cell>
          <cell r="C20">
            <v>6</v>
          </cell>
          <cell r="D20">
            <v>13</v>
          </cell>
          <cell r="E20">
            <v>5908</v>
          </cell>
          <cell r="F20">
            <v>1884</v>
          </cell>
          <cell r="G20">
            <v>3568</v>
          </cell>
          <cell r="H20">
            <v>4414</v>
          </cell>
          <cell r="I20">
            <v>5433</v>
          </cell>
        </row>
        <row r="21">
          <cell r="B21" t="str">
            <v>Genetics</v>
          </cell>
          <cell r="C21">
            <v>3</v>
          </cell>
          <cell r="D21">
            <v>3</v>
          </cell>
          <cell r="E21">
            <v>0</v>
          </cell>
          <cell r="F21">
            <v>0</v>
          </cell>
          <cell r="G21">
            <v>0</v>
          </cell>
          <cell r="H21">
            <v>0</v>
          </cell>
          <cell r="I21">
            <v>0</v>
          </cell>
        </row>
        <row r="22">
          <cell r="B22" t="str">
            <v>Geriatrics</v>
          </cell>
          <cell r="C22">
            <v>14</v>
          </cell>
          <cell r="D22">
            <v>35</v>
          </cell>
          <cell r="E22">
            <v>4390</v>
          </cell>
          <cell r="F22">
            <v>1801</v>
          </cell>
          <cell r="G22">
            <v>1564</v>
          </cell>
          <cell r="H22">
            <v>3387</v>
          </cell>
          <cell r="I22">
            <v>4584</v>
          </cell>
        </row>
        <row r="23">
          <cell r="B23" t="str">
            <v>Hematology/Oncology</v>
          </cell>
          <cell r="C23">
            <v>16</v>
          </cell>
          <cell r="D23">
            <v>140</v>
          </cell>
          <cell r="E23">
            <v>5852</v>
          </cell>
          <cell r="F23">
            <v>2420</v>
          </cell>
          <cell r="G23">
            <v>2379</v>
          </cell>
          <cell r="H23">
            <v>4206</v>
          </cell>
          <cell r="I23">
            <v>5771</v>
          </cell>
        </row>
        <row r="24">
          <cell r="B24" t="str">
            <v>Hematology/Oncology: Oncology (Only)</v>
          </cell>
          <cell r="C24">
            <v>8</v>
          </cell>
          <cell r="D24">
            <v>37</v>
          </cell>
          <cell r="E24">
            <v>5621</v>
          </cell>
          <cell r="F24">
            <v>2439</v>
          </cell>
          <cell r="G24">
            <v>3145</v>
          </cell>
          <cell r="H24">
            <v>4069</v>
          </cell>
          <cell r="I24">
            <v>5188</v>
          </cell>
        </row>
        <row r="25">
          <cell r="B25" t="str">
            <v>Hospice/Palliative Care</v>
          </cell>
          <cell r="C25">
            <v>5</v>
          </cell>
          <cell r="D25">
            <v>7</v>
          </cell>
          <cell r="E25">
            <v>0</v>
          </cell>
          <cell r="F25">
            <v>0</v>
          </cell>
          <cell r="G25">
            <v>0</v>
          </cell>
          <cell r="H25">
            <v>0</v>
          </cell>
          <cell r="I25">
            <v>0</v>
          </cell>
        </row>
        <row r="26">
          <cell r="B26" t="str">
            <v>Hospitalist: Family Medicine</v>
          </cell>
          <cell r="C26">
            <v>5</v>
          </cell>
          <cell r="D26">
            <v>9</v>
          </cell>
          <cell r="E26">
            <v>0</v>
          </cell>
          <cell r="F26">
            <v>0</v>
          </cell>
          <cell r="G26">
            <v>0</v>
          </cell>
          <cell r="H26">
            <v>0</v>
          </cell>
          <cell r="I26">
            <v>0</v>
          </cell>
        </row>
        <row r="27">
          <cell r="B27" t="str">
            <v>Hospitalist: Internal Medicine</v>
          </cell>
          <cell r="C27">
            <v>18</v>
          </cell>
          <cell r="D27">
            <v>178</v>
          </cell>
          <cell r="E27">
            <v>3976</v>
          </cell>
          <cell r="F27">
            <v>1420</v>
          </cell>
          <cell r="G27">
            <v>2267</v>
          </cell>
          <cell r="H27">
            <v>3119</v>
          </cell>
          <cell r="I27">
            <v>3755</v>
          </cell>
        </row>
        <row r="28">
          <cell r="B28" t="str">
            <v>Infectious Disease</v>
          </cell>
          <cell r="C28">
            <v>18</v>
          </cell>
          <cell r="D28">
            <v>79</v>
          </cell>
          <cell r="E28">
            <v>4137</v>
          </cell>
          <cell r="F28">
            <v>2302</v>
          </cell>
          <cell r="G28">
            <v>1582</v>
          </cell>
          <cell r="H28">
            <v>2454</v>
          </cell>
          <cell r="I28">
            <v>3777</v>
          </cell>
        </row>
        <row r="29">
          <cell r="B29" t="str">
            <v>Internal Medicine: General</v>
          </cell>
          <cell r="C29">
            <v>27</v>
          </cell>
          <cell r="D29">
            <v>264</v>
          </cell>
          <cell r="E29">
            <v>4071</v>
          </cell>
          <cell r="F29">
            <v>2109</v>
          </cell>
          <cell r="G29">
            <v>1460</v>
          </cell>
          <cell r="H29">
            <v>2480</v>
          </cell>
          <cell r="I29">
            <v>4149</v>
          </cell>
        </row>
        <row r="30">
          <cell r="B30" t="str">
            <v>Internal Medicine: Ambulatory Only (No Inpatient Work)</v>
          </cell>
          <cell r="C30">
            <v>4</v>
          </cell>
          <cell r="D30">
            <v>26</v>
          </cell>
          <cell r="E30">
            <v>4583</v>
          </cell>
          <cell r="F30">
            <v>1383</v>
          </cell>
          <cell r="G30">
            <v>2764</v>
          </cell>
          <cell r="H30">
            <v>3613</v>
          </cell>
          <cell r="I30">
            <v>4621</v>
          </cell>
        </row>
        <row r="31">
          <cell r="B31" t="str">
            <v>Nephrology</v>
          </cell>
          <cell r="C31">
            <v>18</v>
          </cell>
          <cell r="D31">
            <v>90</v>
          </cell>
          <cell r="E31">
            <v>7428</v>
          </cell>
          <cell r="F31">
            <v>3560</v>
          </cell>
          <cell r="G31">
            <v>3478</v>
          </cell>
          <cell r="H31">
            <v>5103</v>
          </cell>
          <cell r="I31">
            <v>7082</v>
          </cell>
        </row>
        <row r="32">
          <cell r="B32" t="str">
            <v>Neurology</v>
          </cell>
          <cell r="C32">
            <v>26</v>
          </cell>
          <cell r="D32">
            <v>216</v>
          </cell>
          <cell r="E32">
            <v>4482</v>
          </cell>
          <cell r="F32">
            <v>2238</v>
          </cell>
          <cell r="G32">
            <v>2457</v>
          </cell>
          <cell r="H32">
            <v>3212</v>
          </cell>
          <cell r="I32">
            <v>4079</v>
          </cell>
        </row>
        <row r="33">
          <cell r="B33" t="str">
            <v>Neurology: Epilepsy/EEG</v>
          </cell>
          <cell r="C33">
            <v>10</v>
          </cell>
          <cell r="D33">
            <v>25</v>
          </cell>
          <cell r="E33">
            <v>7394</v>
          </cell>
          <cell r="F33">
            <v>2983</v>
          </cell>
          <cell r="G33">
            <v>3340</v>
          </cell>
          <cell r="H33">
            <v>5526</v>
          </cell>
          <cell r="I33">
            <v>6532</v>
          </cell>
        </row>
        <row r="34">
          <cell r="B34" t="str">
            <v>Neurology: Neuromuscular</v>
          </cell>
          <cell r="C34">
            <v>12</v>
          </cell>
          <cell r="D34">
            <v>33</v>
          </cell>
          <cell r="E34">
            <v>4348</v>
          </cell>
          <cell r="F34">
            <v>1035</v>
          </cell>
          <cell r="G34">
            <v>3408</v>
          </cell>
          <cell r="H34">
            <v>3693</v>
          </cell>
          <cell r="I34">
            <v>4053</v>
          </cell>
        </row>
        <row r="35">
          <cell r="B35" t="str">
            <v>Neurology: Stroke Medicine</v>
          </cell>
          <cell r="C35">
            <v>7</v>
          </cell>
          <cell r="D35">
            <v>18</v>
          </cell>
          <cell r="E35">
            <v>3677</v>
          </cell>
          <cell r="F35">
            <v>1794</v>
          </cell>
          <cell r="G35">
            <v>1124</v>
          </cell>
          <cell r="H35">
            <v>2373</v>
          </cell>
          <cell r="I35">
            <v>3533</v>
          </cell>
        </row>
        <row r="36">
          <cell r="B36" t="str">
            <v>Obstetrics/Gynecology: General</v>
          </cell>
          <cell r="C36">
            <v>20</v>
          </cell>
          <cell r="D36">
            <v>139</v>
          </cell>
          <cell r="E36">
            <v>7196</v>
          </cell>
          <cell r="F36">
            <v>3195</v>
          </cell>
          <cell r="G36">
            <v>3085</v>
          </cell>
          <cell r="H36">
            <v>5084</v>
          </cell>
          <cell r="I36">
            <v>6956</v>
          </cell>
        </row>
        <row r="37">
          <cell r="B37" t="str">
            <v>OB/GYN: Gynecology (Only)</v>
          </cell>
          <cell r="C37">
            <v>4</v>
          </cell>
          <cell r="D37">
            <v>18</v>
          </cell>
          <cell r="E37">
            <v>5358</v>
          </cell>
          <cell r="F37">
            <v>2204</v>
          </cell>
          <cell r="G37">
            <v>2052</v>
          </cell>
          <cell r="H37">
            <v>4029</v>
          </cell>
          <cell r="I37">
            <v>4873</v>
          </cell>
        </row>
        <row r="38">
          <cell r="B38" t="str">
            <v>OB/GYN: Gynecological Oncology</v>
          </cell>
          <cell r="C38">
            <v>10</v>
          </cell>
          <cell r="D38">
            <v>24</v>
          </cell>
          <cell r="E38">
            <v>7136</v>
          </cell>
          <cell r="F38">
            <v>3481</v>
          </cell>
          <cell r="G38">
            <v>3352</v>
          </cell>
          <cell r="H38">
            <v>4673</v>
          </cell>
          <cell r="I38">
            <v>6420</v>
          </cell>
        </row>
        <row r="39">
          <cell r="B39" t="str">
            <v>OB/GYN: Maternal and Fetal Medicine</v>
          </cell>
          <cell r="C39">
            <v>18</v>
          </cell>
          <cell r="D39">
            <v>49</v>
          </cell>
          <cell r="E39">
            <v>9721</v>
          </cell>
          <cell r="F39">
            <v>4413</v>
          </cell>
          <cell r="G39">
            <v>4899</v>
          </cell>
          <cell r="H39">
            <v>6751</v>
          </cell>
          <cell r="I39">
            <v>8834</v>
          </cell>
        </row>
        <row r="40">
          <cell r="B40" t="str">
            <v>OB/GYN: Reproductive Endocrinology</v>
          </cell>
          <cell r="C40">
            <v>7</v>
          </cell>
          <cell r="D40">
            <v>13</v>
          </cell>
          <cell r="E40">
            <v>5776</v>
          </cell>
          <cell r="F40">
            <v>3137</v>
          </cell>
          <cell r="G40">
            <v>1951</v>
          </cell>
          <cell r="H40">
            <v>3247</v>
          </cell>
          <cell r="I40">
            <v>4553</v>
          </cell>
        </row>
        <row r="41">
          <cell r="B41" t="str">
            <v>OB/GYN: Urogynecology</v>
          </cell>
          <cell r="C41">
            <v>9</v>
          </cell>
          <cell r="D41">
            <v>15</v>
          </cell>
          <cell r="E41">
            <v>5649</v>
          </cell>
          <cell r="F41">
            <v>2093</v>
          </cell>
          <cell r="G41">
            <v>2109</v>
          </cell>
          <cell r="H41">
            <v>4249</v>
          </cell>
          <cell r="I41">
            <v>6025</v>
          </cell>
        </row>
        <row r="42">
          <cell r="B42" t="str">
            <v>Occupational Medicine</v>
          </cell>
          <cell r="C42">
            <v>1</v>
          </cell>
          <cell r="D42">
            <v>1</v>
          </cell>
          <cell r="E42">
            <v>0</v>
          </cell>
          <cell r="F42">
            <v>0</v>
          </cell>
          <cell r="G42">
            <v>0</v>
          </cell>
          <cell r="H42">
            <v>0</v>
          </cell>
          <cell r="I42">
            <v>0</v>
          </cell>
        </row>
        <row r="43">
          <cell r="B43" t="str">
            <v>Ophthalmology</v>
          </cell>
          <cell r="C43">
            <v>15</v>
          </cell>
          <cell r="D43">
            <v>90</v>
          </cell>
          <cell r="E43">
            <v>8919</v>
          </cell>
          <cell r="F43">
            <v>5063</v>
          </cell>
          <cell r="G43">
            <v>3031</v>
          </cell>
          <cell r="H43">
            <v>5139</v>
          </cell>
          <cell r="I43">
            <v>7934</v>
          </cell>
        </row>
        <row r="44">
          <cell r="B44" t="str">
            <v>Ophthalmology: Corneal and Refractive Surgery</v>
          </cell>
          <cell r="C44">
            <v>7</v>
          </cell>
          <cell r="D44">
            <v>12</v>
          </cell>
          <cell r="E44">
            <v>9310</v>
          </cell>
          <cell r="F44">
            <v>4164</v>
          </cell>
          <cell r="G44">
            <v>3149</v>
          </cell>
          <cell r="H44">
            <v>5068</v>
          </cell>
          <cell r="I44">
            <v>9786</v>
          </cell>
        </row>
        <row r="45">
          <cell r="B45" t="str">
            <v>Ophthalmology: Glaucoma</v>
          </cell>
          <cell r="C45">
            <v>7</v>
          </cell>
          <cell r="D45">
            <v>12</v>
          </cell>
          <cell r="E45">
            <v>7976</v>
          </cell>
          <cell r="F45">
            <v>2845</v>
          </cell>
          <cell r="G45">
            <v>3608</v>
          </cell>
          <cell r="H45">
            <v>5571</v>
          </cell>
          <cell r="I45">
            <v>7725</v>
          </cell>
        </row>
        <row r="46">
          <cell r="B46" t="str">
            <v>Ophthalmology: Neurology</v>
          </cell>
          <cell r="C46">
            <v>4</v>
          </cell>
          <cell r="D46">
            <v>5</v>
          </cell>
          <cell r="E46">
            <v>0</v>
          </cell>
          <cell r="F46">
            <v>0</v>
          </cell>
          <cell r="G46">
            <v>0</v>
          </cell>
          <cell r="H46">
            <v>0</v>
          </cell>
          <cell r="I46">
            <v>0</v>
          </cell>
        </row>
        <row r="47">
          <cell r="B47" t="str">
            <v>Ophthalmology: Oculoplastic and Recon Surgery</v>
          </cell>
          <cell r="C47">
            <v>6</v>
          </cell>
          <cell r="D47">
            <v>10</v>
          </cell>
          <cell r="E47">
            <v>8602</v>
          </cell>
          <cell r="F47">
            <v>4658</v>
          </cell>
          <cell r="G47">
            <v>3190</v>
          </cell>
          <cell r="H47">
            <v>5314</v>
          </cell>
          <cell r="I47">
            <v>7020</v>
          </cell>
        </row>
        <row r="48">
          <cell r="B48" t="str">
            <v>Ophthalmology: Retina</v>
          </cell>
          <cell r="C48">
            <v>10</v>
          </cell>
          <cell r="D48">
            <v>20</v>
          </cell>
          <cell r="E48">
            <v>12380</v>
          </cell>
          <cell r="F48">
            <v>4570</v>
          </cell>
          <cell r="G48">
            <v>4963</v>
          </cell>
          <cell r="H48">
            <v>9515</v>
          </cell>
          <cell r="I48">
            <v>11976</v>
          </cell>
        </row>
        <row r="49">
          <cell r="B49" t="str">
            <v>Orthopedic (Nonsurgical)</v>
          </cell>
          <cell r="C49">
            <v>7</v>
          </cell>
          <cell r="D49">
            <v>23</v>
          </cell>
          <cell r="E49">
            <v>7558</v>
          </cell>
          <cell r="F49">
            <v>3261</v>
          </cell>
          <cell r="G49">
            <v>3512</v>
          </cell>
          <cell r="H49">
            <v>5487</v>
          </cell>
          <cell r="I49">
            <v>6720</v>
          </cell>
        </row>
        <row r="50">
          <cell r="B50" t="str">
            <v>Orthopedic Surgery: General</v>
          </cell>
          <cell r="C50">
            <v>10</v>
          </cell>
          <cell r="D50">
            <v>33</v>
          </cell>
          <cell r="E50">
            <v>10493</v>
          </cell>
          <cell r="F50">
            <v>3447</v>
          </cell>
          <cell r="G50">
            <v>6435</v>
          </cell>
          <cell r="H50">
            <v>8200</v>
          </cell>
          <cell r="I50">
            <v>9928</v>
          </cell>
        </row>
        <row r="51">
          <cell r="B51" t="str">
            <v>Orthopedic Surgery: Foot and Ankle</v>
          </cell>
          <cell r="C51">
            <v>13</v>
          </cell>
          <cell r="D51">
            <v>22</v>
          </cell>
          <cell r="E51">
            <v>8527</v>
          </cell>
          <cell r="F51">
            <v>3086</v>
          </cell>
          <cell r="G51">
            <v>3528</v>
          </cell>
          <cell r="H51">
            <v>7120</v>
          </cell>
          <cell r="I51">
            <v>8339</v>
          </cell>
        </row>
        <row r="52">
          <cell r="B52" t="str">
            <v>Orthopedic Surgery: Hand</v>
          </cell>
          <cell r="C52">
            <v>18</v>
          </cell>
          <cell r="D52">
            <v>43</v>
          </cell>
          <cell r="E52">
            <v>9832</v>
          </cell>
          <cell r="F52">
            <v>4259</v>
          </cell>
          <cell r="G52">
            <v>5068</v>
          </cell>
          <cell r="H52">
            <v>6735</v>
          </cell>
          <cell r="I52">
            <v>9025</v>
          </cell>
        </row>
        <row r="53">
          <cell r="B53" t="str">
            <v>Orthopedic Surgery: Hip and Joint</v>
          </cell>
          <cell r="C53">
            <v>14</v>
          </cell>
          <cell r="D53">
            <v>35</v>
          </cell>
          <cell r="E53">
            <v>12094</v>
          </cell>
          <cell r="F53">
            <v>5330</v>
          </cell>
          <cell r="G53">
            <v>5680</v>
          </cell>
          <cell r="H53">
            <v>7963</v>
          </cell>
          <cell r="I53">
            <v>11097</v>
          </cell>
        </row>
        <row r="54">
          <cell r="B54" t="str">
            <v>Orthopedic Surgery: Oncology</v>
          </cell>
          <cell r="C54">
            <v>7</v>
          </cell>
          <cell r="D54">
            <v>10</v>
          </cell>
          <cell r="E54">
            <v>7497</v>
          </cell>
          <cell r="F54">
            <v>3015</v>
          </cell>
          <cell r="G54">
            <v>3005</v>
          </cell>
          <cell r="H54">
            <v>5298</v>
          </cell>
          <cell r="I54">
            <v>6956</v>
          </cell>
        </row>
        <row r="55">
          <cell r="B55" t="str">
            <v>Orthopedic Surgery: Shoulder/Elbow</v>
          </cell>
          <cell r="C55">
            <v>5</v>
          </cell>
          <cell r="D55">
            <v>7</v>
          </cell>
          <cell r="E55">
            <v>0</v>
          </cell>
          <cell r="F55">
            <v>0</v>
          </cell>
          <cell r="G55">
            <v>0</v>
          </cell>
          <cell r="H55">
            <v>0</v>
          </cell>
          <cell r="I55">
            <v>0</v>
          </cell>
        </row>
        <row r="56">
          <cell r="B56" t="str">
            <v>Orthopedic Surgery: Spine</v>
          </cell>
          <cell r="C56">
            <v>15</v>
          </cell>
          <cell r="D56">
            <v>31</v>
          </cell>
          <cell r="E56">
            <v>15364</v>
          </cell>
          <cell r="F56">
            <v>7411</v>
          </cell>
          <cell r="G56">
            <v>7070</v>
          </cell>
          <cell r="H56">
            <v>9924</v>
          </cell>
          <cell r="I56">
            <v>14035</v>
          </cell>
        </row>
        <row r="57">
          <cell r="B57" t="str">
            <v>Orthopedic Surgery: Trauma</v>
          </cell>
          <cell r="C57">
            <v>15</v>
          </cell>
          <cell r="D57">
            <v>46</v>
          </cell>
          <cell r="E57">
            <v>10262</v>
          </cell>
          <cell r="F57">
            <v>4111</v>
          </cell>
          <cell r="G57">
            <v>5870</v>
          </cell>
          <cell r="H57">
            <v>7905</v>
          </cell>
          <cell r="I57">
            <v>9354</v>
          </cell>
        </row>
        <row r="58">
          <cell r="B58" t="str">
            <v>Orthopedic Surgery: Sports Medicine</v>
          </cell>
          <cell r="C58">
            <v>17</v>
          </cell>
          <cell r="D58">
            <v>52</v>
          </cell>
          <cell r="E58">
            <v>9438</v>
          </cell>
          <cell r="F58">
            <v>4298</v>
          </cell>
          <cell r="G58">
            <v>5138</v>
          </cell>
          <cell r="H58">
            <v>6768</v>
          </cell>
          <cell r="I58">
            <v>8341</v>
          </cell>
        </row>
        <row r="59">
          <cell r="B59" t="str">
            <v>Otorhinolaryngology</v>
          </cell>
          <cell r="C59">
            <v>17</v>
          </cell>
          <cell r="D59">
            <v>131</v>
          </cell>
          <cell r="E59">
            <v>8063</v>
          </cell>
          <cell r="F59">
            <v>3625</v>
          </cell>
          <cell r="G59">
            <v>3813</v>
          </cell>
          <cell r="H59">
            <v>5614</v>
          </cell>
          <cell r="I59">
            <v>7533</v>
          </cell>
        </row>
        <row r="60">
          <cell r="B60" t="str">
            <v>Pain Management: Nonanesthesia</v>
          </cell>
          <cell r="C60">
            <v>2</v>
          </cell>
          <cell r="D60">
            <v>7</v>
          </cell>
          <cell r="E60">
            <v>0</v>
          </cell>
          <cell r="F60">
            <v>0</v>
          </cell>
          <cell r="G60">
            <v>0</v>
          </cell>
          <cell r="H60">
            <v>0</v>
          </cell>
          <cell r="I60">
            <v>0</v>
          </cell>
        </row>
        <row r="61">
          <cell r="B61" t="str">
            <v>Pathology: Anatomic and Clinical</v>
          </cell>
          <cell r="C61">
            <v>10</v>
          </cell>
          <cell r="D61">
            <v>69</v>
          </cell>
          <cell r="E61">
            <v>7165</v>
          </cell>
          <cell r="F61">
            <v>3259</v>
          </cell>
          <cell r="G61">
            <v>3154</v>
          </cell>
          <cell r="H61">
            <v>6031</v>
          </cell>
          <cell r="I61">
            <v>7163</v>
          </cell>
        </row>
        <row r="62">
          <cell r="B62" t="str">
            <v>Pathology: Anatomic</v>
          </cell>
          <cell r="C62">
            <v>13</v>
          </cell>
          <cell r="D62">
            <v>69</v>
          </cell>
          <cell r="E62">
            <v>6697</v>
          </cell>
          <cell r="F62">
            <v>3797</v>
          </cell>
          <cell r="G62">
            <v>2412</v>
          </cell>
          <cell r="H62">
            <v>3860</v>
          </cell>
          <cell r="I62">
            <v>6070</v>
          </cell>
        </row>
        <row r="63">
          <cell r="B63" t="str">
            <v>Pathology: Anatomic-Cytopathology</v>
          </cell>
          <cell r="C63">
            <v>6</v>
          </cell>
          <cell r="D63">
            <v>7</v>
          </cell>
          <cell r="E63">
            <v>0</v>
          </cell>
          <cell r="F63">
            <v>0</v>
          </cell>
          <cell r="G63">
            <v>0</v>
          </cell>
          <cell r="H63">
            <v>0</v>
          </cell>
          <cell r="I63">
            <v>0</v>
          </cell>
        </row>
        <row r="64">
          <cell r="B64" t="str">
            <v>Pathology: Anatomic-Neuropathology</v>
          </cell>
          <cell r="C64">
            <v>5</v>
          </cell>
          <cell r="D64">
            <v>8</v>
          </cell>
          <cell r="E64">
            <v>0</v>
          </cell>
          <cell r="F64">
            <v>0</v>
          </cell>
          <cell r="G64">
            <v>0</v>
          </cell>
          <cell r="H64">
            <v>0</v>
          </cell>
          <cell r="I64">
            <v>0</v>
          </cell>
        </row>
        <row r="65">
          <cell r="B65" t="str">
            <v>Pathology: Anatomic-Renal</v>
          </cell>
          <cell r="C65">
            <v>3</v>
          </cell>
          <cell r="D65">
            <v>4</v>
          </cell>
          <cell r="E65">
            <v>0</v>
          </cell>
          <cell r="F65">
            <v>0</v>
          </cell>
          <cell r="G65">
            <v>0</v>
          </cell>
          <cell r="H65">
            <v>0</v>
          </cell>
          <cell r="I65">
            <v>0</v>
          </cell>
        </row>
        <row r="66">
          <cell r="B66" t="str">
            <v>Pathology: Clinical</v>
          </cell>
          <cell r="C66">
            <v>10</v>
          </cell>
          <cell r="D66">
            <v>30</v>
          </cell>
          <cell r="E66">
            <v>4766</v>
          </cell>
          <cell r="F66">
            <v>2454</v>
          </cell>
          <cell r="G66">
            <v>1603</v>
          </cell>
          <cell r="H66">
            <v>2538</v>
          </cell>
          <cell r="I66">
            <v>4750</v>
          </cell>
        </row>
        <row r="67">
          <cell r="B67" t="str">
            <v>Pathology: Clinical-Hematopathology</v>
          </cell>
          <cell r="C67">
            <v>5</v>
          </cell>
          <cell r="D67">
            <v>8</v>
          </cell>
          <cell r="E67">
            <v>0</v>
          </cell>
          <cell r="F67">
            <v>0</v>
          </cell>
          <cell r="G67">
            <v>0</v>
          </cell>
          <cell r="H67">
            <v>0</v>
          </cell>
          <cell r="I67">
            <v>0</v>
          </cell>
        </row>
        <row r="68">
          <cell r="B68" t="str">
            <v>Pathology: Clinical-Transfusion Medicine</v>
          </cell>
          <cell r="C68">
            <v>1</v>
          </cell>
          <cell r="D68">
            <v>2</v>
          </cell>
          <cell r="E68">
            <v>0</v>
          </cell>
          <cell r="F68">
            <v>0</v>
          </cell>
          <cell r="G68">
            <v>0</v>
          </cell>
          <cell r="H68">
            <v>0</v>
          </cell>
          <cell r="I68">
            <v>0</v>
          </cell>
        </row>
        <row r="69">
          <cell r="B69" t="str">
            <v>Pathology: Surgical</v>
          </cell>
          <cell r="C69">
            <v>3</v>
          </cell>
          <cell r="D69">
            <v>25</v>
          </cell>
          <cell r="E69">
            <v>9909</v>
          </cell>
          <cell r="F69">
            <v>3498</v>
          </cell>
          <cell r="G69">
            <v>4948</v>
          </cell>
          <cell r="H69">
            <v>7660</v>
          </cell>
          <cell r="I69">
            <v>9778</v>
          </cell>
        </row>
        <row r="70">
          <cell r="B70" t="str">
            <v>Pediatrics: General</v>
          </cell>
          <cell r="C70">
            <v>28</v>
          </cell>
          <cell r="D70">
            <v>182</v>
          </cell>
          <cell r="E70">
            <v>5473</v>
          </cell>
          <cell r="F70">
            <v>2238</v>
          </cell>
          <cell r="G70">
            <v>2956</v>
          </cell>
          <cell r="H70">
            <v>4042</v>
          </cell>
          <cell r="I70">
            <v>5119</v>
          </cell>
        </row>
        <row r="71">
          <cell r="B71" t="str">
            <v>Pediatrics: Adolescent Medicine</v>
          </cell>
          <cell r="C71">
            <v>8</v>
          </cell>
          <cell r="D71">
            <v>17</v>
          </cell>
          <cell r="E71">
            <v>3430</v>
          </cell>
          <cell r="F71">
            <v>1588</v>
          </cell>
          <cell r="G71">
            <v>1098</v>
          </cell>
          <cell r="H71">
            <v>2476</v>
          </cell>
          <cell r="I71">
            <v>3478</v>
          </cell>
        </row>
        <row r="72">
          <cell r="B72" t="str">
            <v>Pediatrics: Allergy/Immunology</v>
          </cell>
          <cell r="C72">
            <v>8</v>
          </cell>
          <cell r="D72">
            <v>10</v>
          </cell>
          <cell r="E72">
            <v>3320</v>
          </cell>
          <cell r="F72">
            <v>1464</v>
          </cell>
          <cell r="G72">
            <v>1253</v>
          </cell>
          <cell r="H72">
            <v>2111</v>
          </cell>
          <cell r="I72">
            <v>3505</v>
          </cell>
        </row>
        <row r="73">
          <cell r="B73" t="str">
            <v>Pediatrics: Bone Marrow Transplant</v>
          </cell>
          <cell r="C73">
            <v>1</v>
          </cell>
          <cell r="D73">
            <v>4</v>
          </cell>
          <cell r="E73">
            <v>0</v>
          </cell>
          <cell r="F73">
            <v>0</v>
          </cell>
          <cell r="G73">
            <v>0</v>
          </cell>
          <cell r="H73">
            <v>0</v>
          </cell>
          <cell r="I73">
            <v>0</v>
          </cell>
        </row>
        <row r="74">
          <cell r="B74" t="str">
            <v>Pediatrics: Cardiology</v>
          </cell>
          <cell r="C74">
            <v>15</v>
          </cell>
          <cell r="D74">
            <v>106</v>
          </cell>
          <cell r="E74">
            <v>5837</v>
          </cell>
          <cell r="F74">
            <v>3012</v>
          </cell>
          <cell r="G74">
            <v>2914</v>
          </cell>
          <cell r="H74">
            <v>4204</v>
          </cell>
          <cell r="I74">
            <v>5279</v>
          </cell>
        </row>
        <row r="75">
          <cell r="B75" t="str">
            <v>Pediatrics: Cardiovascular Surgery</v>
          </cell>
          <cell r="C75">
            <v>6</v>
          </cell>
          <cell r="D75">
            <v>18</v>
          </cell>
          <cell r="E75">
            <v>9920</v>
          </cell>
          <cell r="F75">
            <v>5284</v>
          </cell>
          <cell r="G75">
            <v>3418</v>
          </cell>
          <cell r="H75">
            <v>5521</v>
          </cell>
          <cell r="I75">
            <v>9937</v>
          </cell>
        </row>
        <row r="76">
          <cell r="B76" t="str">
            <v>Pediatrics: Child Development</v>
          </cell>
          <cell r="C76">
            <v>11</v>
          </cell>
          <cell r="D76">
            <v>22</v>
          </cell>
          <cell r="E76">
            <v>2922</v>
          </cell>
          <cell r="F76">
            <v>1578</v>
          </cell>
          <cell r="G76">
            <v>1504</v>
          </cell>
          <cell r="H76">
            <v>1796</v>
          </cell>
          <cell r="I76">
            <v>2295</v>
          </cell>
        </row>
        <row r="77">
          <cell r="B77" t="str">
            <v>Pediatrics: Critical Care/Intensivist</v>
          </cell>
          <cell r="C77">
            <v>16</v>
          </cell>
          <cell r="D77">
            <v>74</v>
          </cell>
          <cell r="E77">
            <v>6507</v>
          </cell>
          <cell r="F77">
            <v>3013</v>
          </cell>
          <cell r="G77">
            <v>3218</v>
          </cell>
          <cell r="H77">
            <v>4019</v>
          </cell>
          <cell r="I77">
            <v>6338</v>
          </cell>
        </row>
        <row r="78">
          <cell r="B78" t="str">
            <v>Pediatrics: Dermatology</v>
          </cell>
          <cell r="C78">
            <v>3</v>
          </cell>
          <cell r="D78">
            <v>5</v>
          </cell>
          <cell r="E78">
            <v>0</v>
          </cell>
          <cell r="F78">
            <v>0</v>
          </cell>
          <cell r="G78">
            <v>0</v>
          </cell>
          <cell r="H78">
            <v>0</v>
          </cell>
          <cell r="I78">
            <v>0</v>
          </cell>
        </row>
        <row r="79">
          <cell r="B79" t="str">
            <v>Pediatrics: Emergency Medicine</v>
          </cell>
          <cell r="C79">
            <v>8</v>
          </cell>
          <cell r="D79">
            <v>60</v>
          </cell>
          <cell r="E79">
            <v>6386</v>
          </cell>
          <cell r="F79">
            <v>2668</v>
          </cell>
          <cell r="G79">
            <v>2600</v>
          </cell>
          <cell r="H79">
            <v>4297</v>
          </cell>
          <cell r="I79">
            <v>6614</v>
          </cell>
        </row>
        <row r="80">
          <cell r="B80" t="str">
            <v>Pediatrics: Endocrinology</v>
          </cell>
          <cell r="C80">
            <v>17</v>
          </cell>
          <cell r="D80">
            <v>52</v>
          </cell>
          <cell r="E80">
            <v>3688</v>
          </cell>
          <cell r="F80">
            <v>1099</v>
          </cell>
          <cell r="G80">
            <v>2363</v>
          </cell>
          <cell r="H80">
            <v>2794</v>
          </cell>
          <cell r="I80">
            <v>3499</v>
          </cell>
        </row>
        <row r="81">
          <cell r="B81" t="str">
            <v>Pediatrics: Gastroenterology</v>
          </cell>
          <cell r="C81">
            <v>16</v>
          </cell>
          <cell r="D81">
            <v>59</v>
          </cell>
          <cell r="E81">
            <v>4548</v>
          </cell>
          <cell r="F81">
            <v>1477</v>
          </cell>
          <cell r="G81">
            <v>2912</v>
          </cell>
          <cell r="H81">
            <v>3650</v>
          </cell>
          <cell r="I81">
            <v>4399</v>
          </cell>
        </row>
        <row r="82">
          <cell r="B82" t="str">
            <v>Pediatrics: Genetics</v>
          </cell>
          <cell r="C82">
            <v>8</v>
          </cell>
          <cell r="D82">
            <v>16</v>
          </cell>
          <cell r="E82">
            <v>2288</v>
          </cell>
          <cell r="F82">
            <v>903</v>
          </cell>
          <cell r="G82">
            <v>1035</v>
          </cell>
          <cell r="H82">
            <v>1677</v>
          </cell>
          <cell r="I82">
            <v>1996</v>
          </cell>
        </row>
        <row r="83">
          <cell r="B83" t="str">
            <v>Pediatrics: Hematology/Oncology</v>
          </cell>
          <cell r="C83">
            <v>14</v>
          </cell>
          <cell r="D83">
            <v>47</v>
          </cell>
          <cell r="E83">
            <v>4427</v>
          </cell>
          <cell r="F83">
            <v>1452</v>
          </cell>
          <cell r="G83">
            <v>2842</v>
          </cell>
          <cell r="H83">
            <v>3409</v>
          </cell>
          <cell r="I83">
            <v>4245</v>
          </cell>
        </row>
        <row r="84">
          <cell r="B84" t="str">
            <v>Pediatrics: Hospitalist</v>
          </cell>
          <cell r="C84">
            <v>16</v>
          </cell>
          <cell r="D84">
            <v>105</v>
          </cell>
          <cell r="E84">
            <v>3449</v>
          </cell>
          <cell r="F84">
            <v>1310</v>
          </cell>
          <cell r="G84">
            <v>1881</v>
          </cell>
          <cell r="H84">
            <v>2540</v>
          </cell>
          <cell r="I84">
            <v>3384</v>
          </cell>
        </row>
        <row r="85">
          <cell r="B85" t="str">
            <v>Pediatrics: Hospitalist-Internal Medicine</v>
          </cell>
          <cell r="C85">
            <v>1</v>
          </cell>
          <cell r="D85">
            <v>1</v>
          </cell>
          <cell r="E85">
            <v>0</v>
          </cell>
          <cell r="F85">
            <v>0</v>
          </cell>
          <cell r="G85">
            <v>0</v>
          </cell>
          <cell r="H85">
            <v>0</v>
          </cell>
          <cell r="I85">
            <v>0</v>
          </cell>
        </row>
        <row r="86">
          <cell r="B86" t="str">
            <v>Pediatrics: Infectious Disease</v>
          </cell>
          <cell r="C86">
            <v>11</v>
          </cell>
          <cell r="D86">
            <v>16</v>
          </cell>
          <cell r="E86">
            <v>2848</v>
          </cell>
          <cell r="F86">
            <v>889</v>
          </cell>
          <cell r="G86">
            <v>1127</v>
          </cell>
          <cell r="H86">
            <v>2656</v>
          </cell>
          <cell r="I86">
            <v>2853</v>
          </cell>
        </row>
        <row r="87">
          <cell r="B87" t="str">
            <v>Pediatrics: Internal Medicine</v>
          </cell>
          <cell r="C87">
            <v>2</v>
          </cell>
          <cell r="D87">
            <v>3</v>
          </cell>
          <cell r="E87">
            <v>0</v>
          </cell>
          <cell r="F87">
            <v>0</v>
          </cell>
          <cell r="G87">
            <v>0</v>
          </cell>
          <cell r="H87">
            <v>0</v>
          </cell>
          <cell r="I87">
            <v>0</v>
          </cell>
        </row>
        <row r="88">
          <cell r="B88" t="str">
            <v>Pediatrics: Neonatal Medicine</v>
          </cell>
          <cell r="C88">
            <v>19</v>
          </cell>
          <cell r="D88">
            <v>146</v>
          </cell>
          <cell r="E88">
            <v>12469</v>
          </cell>
          <cell r="F88">
            <v>5276</v>
          </cell>
          <cell r="G88">
            <v>5886</v>
          </cell>
          <cell r="H88">
            <v>8804</v>
          </cell>
          <cell r="I88">
            <v>12163</v>
          </cell>
        </row>
        <row r="89">
          <cell r="B89" t="str">
            <v>Pediatrics: Nephrology</v>
          </cell>
          <cell r="C89">
            <v>14</v>
          </cell>
          <cell r="D89">
            <v>28</v>
          </cell>
          <cell r="E89">
            <v>3841</v>
          </cell>
          <cell r="F89">
            <v>1446</v>
          </cell>
          <cell r="G89">
            <v>1788</v>
          </cell>
          <cell r="H89">
            <v>2885</v>
          </cell>
          <cell r="I89">
            <v>3867</v>
          </cell>
        </row>
        <row r="90">
          <cell r="B90" t="str">
            <v>Pediatrics: Neurology</v>
          </cell>
          <cell r="C90">
            <v>13</v>
          </cell>
          <cell r="D90">
            <v>65</v>
          </cell>
          <cell r="E90">
            <v>4493</v>
          </cell>
          <cell r="F90">
            <v>2407</v>
          </cell>
          <cell r="G90">
            <v>2016</v>
          </cell>
          <cell r="H90">
            <v>2949</v>
          </cell>
          <cell r="I90">
            <v>3820</v>
          </cell>
        </row>
        <row r="91">
          <cell r="B91" t="str">
            <v>Pediatrics: Neurological Surgery</v>
          </cell>
          <cell r="C91">
            <v>3</v>
          </cell>
          <cell r="D91">
            <v>7</v>
          </cell>
          <cell r="E91">
            <v>0</v>
          </cell>
          <cell r="F91">
            <v>0</v>
          </cell>
          <cell r="G91">
            <v>0</v>
          </cell>
          <cell r="H91">
            <v>0</v>
          </cell>
          <cell r="I91">
            <v>0</v>
          </cell>
        </row>
        <row r="92">
          <cell r="B92" t="str">
            <v>Pediatrics: Ophthalmology</v>
          </cell>
          <cell r="C92">
            <v>7</v>
          </cell>
          <cell r="D92">
            <v>19</v>
          </cell>
          <cell r="E92">
            <v>9146</v>
          </cell>
          <cell r="F92">
            <v>4040</v>
          </cell>
          <cell r="G92">
            <v>5252</v>
          </cell>
          <cell r="H92">
            <v>6655</v>
          </cell>
          <cell r="I92">
            <v>8257</v>
          </cell>
        </row>
        <row r="93">
          <cell r="B93" t="str">
            <v>Pediatrics: Orthopedic Surgery</v>
          </cell>
          <cell r="C93">
            <v>11</v>
          </cell>
          <cell r="D93">
            <v>43</v>
          </cell>
          <cell r="E93">
            <v>7388</v>
          </cell>
          <cell r="F93">
            <v>3491</v>
          </cell>
          <cell r="G93">
            <v>3442</v>
          </cell>
          <cell r="H93">
            <v>4610</v>
          </cell>
          <cell r="I93">
            <v>6934</v>
          </cell>
        </row>
        <row r="94">
          <cell r="B94" t="str">
            <v>Pediatrics: Otorhinolaryngology</v>
          </cell>
          <cell r="C94">
            <v>7</v>
          </cell>
          <cell r="D94">
            <v>37</v>
          </cell>
          <cell r="E94">
            <v>7757</v>
          </cell>
          <cell r="F94">
            <v>2150</v>
          </cell>
          <cell r="G94">
            <v>5239</v>
          </cell>
          <cell r="H94">
            <v>6093</v>
          </cell>
          <cell r="I94">
            <v>7599</v>
          </cell>
        </row>
        <row r="95">
          <cell r="B95" t="str">
            <v>Pediatrics: Plastic and Reconstructive Surgery</v>
          </cell>
          <cell r="C95">
            <v>4</v>
          </cell>
          <cell r="D95">
            <v>6</v>
          </cell>
          <cell r="E95">
            <v>0</v>
          </cell>
          <cell r="F95">
            <v>0</v>
          </cell>
          <cell r="G95">
            <v>0</v>
          </cell>
          <cell r="H95">
            <v>0</v>
          </cell>
          <cell r="I95">
            <v>0</v>
          </cell>
        </row>
        <row r="96">
          <cell r="B96" t="str">
            <v>Pediatrics: Pulmonology</v>
          </cell>
          <cell r="C96">
            <v>13</v>
          </cell>
          <cell r="D96">
            <v>43</v>
          </cell>
          <cell r="E96">
            <v>4568</v>
          </cell>
          <cell r="F96">
            <v>1612</v>
          </cell>
          <cell r="G96">
            <v>2566</v>
          </cell>
          <cell r="H96">
            <v>3413</v>
          </cell>
          <cell r="I96">
            <v>4170</v>
          </cell>
        </row>
        <row r="97">
          <cell r="B97" t="str">
            <v>Pediatrics: Radiology</v>
          </cell>
          <cell r="C97">
            <v>5</v>
          </cell>
          <cell r="D97">
            <v>28</v>
          </cell>
          <cell r="E97">
            <v>6444</v>
          </cell>
          <cell r="F97">
            <v>1524</v>
          </cell>
          <cell r="G97">
            <v>4484</v>
          </cell>
          <cell r="H97">
            <v>5318</v>
          </cell>
          <cell r="I97">
            <v>6244</v>
          </cell>
        </row>
        <row r="98">
          <cell r="B98" t="str">
            <v>Pediatrics: Rheumatology</v>
          </cell>
          <cell r="C98">
            <v>7</v>
          </cell>
          <cell r="D98">
            <v>11</v>
          </cell>
          <cell r="E98">
            <v>3650</v>
          </cell>
          <cell r="F98">
            <v>1218</v>
          </cell>
          <cell r="G98">
            <v>1873</v>
          </cell>
          <cell r="H98">
            <v>2545</v>
          </cell>
          <cell r="I98">
            <v>3611</v>
          </cell>
        </row>
        <row r="99">
          <cell r="B99" t="str">
            <v>Pediatrics: Sports Medicine</v>
          </cell>
          <cell r="C99">
            <v>2</v>
          </cell>
          <cell r="D99">
            <v>2</v>
          </cell>
          <cell r="E99">
            <v>0</v>
          </cell>
          <cell r="F99">
            <v>0</v>
          </cell>
          <cell r="G99">
            <v>0</v>
          </cell>
          <cell r="H99">
            <v>0</v>
          </cell>
          <cell r="I99">
            <v>0</v>
          </cell>
        </row>
        <row r="100">
          <cell r="B100" t="str">
            <v>Pediatrics: Surgery</v>
          </cell>
          <cell r="C100">
            <v>9</v>
          </cell>
          <cell r="D100">
            <v>45</v>
          </cell>
          <cell r="E100">
            <v>8126</v>
          </cell>
          <cell r="F100">
            <v>3945</v>
          </cell>
          <cell r="G100">
            <v>5529</v>
          </cell>
          <cell r="H100">
            <v>6598</v>
          </cell>
          <cell r="I100">
            <v>7616</v>
          </cell>
        </row>
        <row r="101">
          <cell r="B101" t="str">
            <v>Pediatrics: Urgent Care</v>
          </cell>
          <cell r="C101">
            <v>2</v>
          </cell>
          <cell r="D101">
            <v>7</v>
          </cell>
          <cell r="E101">
            <v>0</v>
          </cell>
          <cell r="F101">
            <v>0</v>
          </cell>
          <cell r="G101">
            <v>0</v>
          </cell>
          <cell r="H101">
            <v>0</v>
          </cell>
          <cell r="I101">
            <v>0</v>
          </cell>
        </row>
        <row r="102">
          <cell r="B102" t="str">
            <v>Pediatrics: Urology</v>
          </cell>
          <cell r="C102">
            <v>4</v>
          </cell>
          <cell r="D102">
            <v>11</v>
          </cell>
          <cell r="E102">
            <v>7461</v>
          </cell>
          <cell r="F102">
            <v>2324</v>
          </cell>
          <cell r="G102">
            <v>3716</v>
          </cell>
          <cell r="H102">
            <v>5415</v>
          </cell>
          <cell r="I102">
            <v>6965</v>
          </cell>
        </row>
        <row r="103">
          <cell r="B103" t="str">
            <v>Physiatry (Physical Medicine and Rehabilitation)</v>
          </cell>
          <cell r="C103">
            <v>20</v>
          </cell>
          <cell r="D103">
            <v>73</v>
          </cell>
          <cell r="E103">
            <v>5504</v>
          </cell>
          <cell r="F103">
            <v>2544</v>
          </cell>
          <cell r="G103">
            <v>2508</v>
          </cell>
          <cell r="H103">
            <v>4043</v>
          </cell>
          <cell r="I103">
            <v>5547</v>
          </cell>
        </row>
        <row r="104">
          <cell r="B104" t="str">
            <v>Podiatry: General</v>
          </cell>
          <cell r="C104">
            <v>5</v>
          </cell>
          <cell r="D104">
            <v>10</v>
          </cell>
          <cell r="E104">
            <v>5405</v>
          </cell>
          <cell r="F104">
            <v>2043</v>
          </cell>
          <cell r="G104">
            <v>2779</v>
          </cell>
          <cell r="H104">
            <v>3539</v>
          </cell>
          <cell r="I104">
            <v>5365</v>
          </cell>
        </row>
        <row r="105">
          <cell r="B105" t="str">
            <v>Podiatry: Surgery-Foot and Ankle</v>
          </cell>
          <cell r="C105">
            <v>1</v>
          </cell>
          <cell r="D105">
            <v>1</v>
          </cell>
          <cell r="E105">
            <v>0</v>
          </cell>
          <cell r="F105">
            <v>0</v>
          </cell>
          <cell r="G105">
            <v>0</v>
          </cell>
          <cell r="H105">
            <v>0</v>
          </cell>
          <cell r="I105">
            <v>0</v>
          </cell>
        </row>
        <row r="106">
          <cell r="B106" t="str">
            <v>Psychiatry: General</v>
          </cell>
          <cell r="C106">
            <v>21</v>
          </cell>
          <cell r="D106">
            <v>141</v>
          </cell>
          <cell r="E106">
            <v>4150</v>
          </cell>
          <cell r="F106">
            <v>2556</v>
          </cell>
          <cell r="G106">
            <v>1467</v>
          </cell>
          <cell r="H106">
            <v>2238</v>
          </cell>
          <cell r="I106">
            <v>3598</v>
          </cell>
        </row>
        <row r="107">
          <cell r="B107" t="str">
            <v>Psychiatry: Child and Adolescent</v>
          </cell>
          <cell r="C107">
            <v>8</v>
          </cell>
          <cell r="D107">
            <v>33</v>
          </cell>
          <cell r="E107">
            <v>3005</v>
          </cell>
          <cell r="F107">
            <v>1223</v>
          </cell>
          <cell r="G107">
            <v>1446</v>
          </cell>
          <cell r="H107">
            <v>2312</v>
          </cell>
          <cell r="I107">
            <v>2840</v>
          </cell>
        </row>
        <row r="108">
          <cell r="B108" t="str">
            <v>Psychiatry: Geriatric</v>
          </cell>
          <cell r="C108">
            <v>3</v>
          </cell>
          <cell r="D108">
            <v>4</v>
          </cell>
          <cell r="E108">
            <v>0</v>
          </cell>
          <cell r="F108">
            <v>0</v>
          </cell>
          <cell r="G108">
            <v>0</v>
          </cell>
          <cell r="H108">
            <v>0</v>
          </cell>
          <cell r="I108">
            <v>0</v>
          </cell>
        </row>
        <row r="109">
          <cell r="B109" t="str">
            <v>Pulmonary Medicine: General</v>
          </cell>
          <cell r="C109">
            <v>10</v>
          </cell>
          <cell r="D109">
            <v>67</v>
          </cell>
          <cell r="E109">
            <v>7568</v>
          </cell>
          <cell r="F109">
            <v>3554</v>
          </cell>
          <cell r="G109">
            <v>3994</v>
          </cell>
          <cell r="H109">
            <v>5327</v>
          </cell>
          <cell r="I109">
            <v>6559</v>
          </cell>
        </row>
        <row r="110">
          <cell r="B110" t="str">
            <v>Pulmonary Medicine: Critical Care</v>
          </cell>
          <cell r="C110">
            <v>7</v>
          </cell>
          <cell r="D110">
            <v>19</v>
          </cell>
          <cell r="E110">
            <v>6973</v>
          </cell>
          <cell r="F110">
            <v>2363</v>
          </cell>
          <cell r="G110">
            <v>3182</v>
          </cell>
          <cell r="H110">
            <v>4450</v>
          </cell>
          <cell r="I110">
            <v>7745</v>
          </cell>
        </row>
        <row r="111">
          <cell r="B111" t="str">
            <v>Pulmonary Medicine: General and Critical Care</v>
          </cell>
          <cell r="C111">
            <v>8</v>
          </cell>
          <cell r="D111">
            <v>34</v>
          </cell>
          <cell r="E111">
            <v>7932</v>
          </cell>
          <cell r="F111">
            <v>3737</v>
          </cell>
          <cell r="G111">
            <v>4194</v>
          </cell>
          <cell r="H111">
            <v>5511</v>
          </cell>
          <cell r="I111">
            <v>7211</v>
          </cell>
        </row>
        <row r="112">
          <cell r="B112" t="str">
            <v>Radiation Oncology</v>
          </cell>
          <cell r="C112">
            <v>15</v>
          </cell>
          <cell r="D112">
            <v>87</v>
          </cell>
          <cell r="E112">
            <v>9331</v>
          </cell>
          <cell r="F112">
            <v>3234</v>
          </cell>
          <cell r="G112">
            <v>5147</v>
          </cell>
          <cell r="H112">
            <v>7217</v>
          </cell>
          <cell r="I112">
            <v>8809</v>
          </cell>
        </row>
        <row r="113">
          <cell r="B113" t="str">
            <v>Radiology: Interventional</v>
          </cell>
          <cell r="C113">
            <v>13</v>
          </cell>
          <cell r="D113">
            <v>72</v>
          </cell>
          <cell r="E113">
            <v>8578</v>
          </cell>
          <cell r="F113">
            <v>4555</v>
          </cell>
          <cell r="G113">
            <v>2445</v>
          </cell>
          <cell r="H113">
            <v>5473</v>
          </cell>
          <cell r="I113">
            <v>8080</v>
          </cell>
        </row>
        <row r="114">
          <cell r="B114" t="str">
            <v>Radiology: Diagnostic</v>
          </cell>
          <cell r="C114">
            <v>22</v>
          </cell>
          <cell r="D114">
            <v>457</v>
          </cell>
          <cell r="E114">
            <v>7882</v>
          </cell>
          <cell r="F114">
            <v>3899</v>
          </cell>
          <cell r="G114">
            <v>3044</v>
          </cell>
          <cell r="H114">
            <v>5226</v>
          </cell>
          <cell r="I114">
            <v>7605</v>
          </cell>
        </row>
        <row r="115">
          <cell r="B115" t="str">
            <v>Radiology: Neurological</v>
          </cell>
          <cell r="C115">
            <v>12</v>
          </cell>
          <cell r="D115">
            <v>63</v>
          </cell>
          <cell r="E115">
            <v>12535</v>
          </cell>
          <cell r="F115">
            <v>5701</v>
          </cell>
          <cell r="G115">
            <v>5951</v>
          </cell>
          <cell r="H115">
            <v>9570</v>
          </cell>
          <cell r="I115">
            <v>11546</v>
          </cell>
        </row>
        <row r="116">
          <cell r="B116" t="str">
            <v>Radiology: Nuclear Medicine</v>
          </cell>
          <cell r="C116">
            <v>16</v>
          </cell>
          <cell r="D116">
            <v>40</v>
          </cell>
          <cell r="E116">
            <v>5751</v>
          </cell>
          <cell r="F116">
            <v>2394</v>
          </cell>
          <cell r="G116">
            <v>2596</v>
          </cell>
          <cell r="H116">
            <v>4146</v>
          </cell>
          <cell r="I116">
            <v>5357</v>
          </cell>
        </row>
        <row r="117">
          <cell r="B117" t="str">
            <v>Rheumatology</v>
          </cell>
          <cell r="C117">
            <v>16</v>
          </cell>
          <cell r="D117">
            <v>49</v>
          </cell>
          <cell r="E117">
            <v>4736</v>
          </cell>
          <cell r="F117">
            <v>1865</v>
          </cell>
          <cell r="G117">
            <v>2265</v>
          </cell>
          <cell r="H117">
            <v>3563</v>
          </cell>
          <cell r="I117">
            <v>4167</v>
          </cell>
        </row>
        <row r="118">
          <cell r="B118" t="str">
            <v>Sleep Medicine</v>
          </cell>
          <cell r="C118">
            <v>4</v>
          </cell>
          <cell r="D118">
            <v>5</v>
          </cell>
          <cell r="E118">
            <v>0</v>
          </cell>
          <cell r="F118">
            <v>0</v>
          </cell>
          <cell r="G118">
            <v>0</v>
          </cell>
          <cell r="H118">
            <v>0</v>
          </cell>
          <cell r="I118">
            <v>0</v>
          </cell>
        </row>
        <row r="119">
          <cell r="B119" t="str">
            <v>Surgery: General</v>
          </cell>
          <cell r="C119">
            <v>19</v>
          </cell>
          <cell r="D119">
            <v>72</v>
          </cell>
          <cell r="E119">
            <v>7405</v>
          </cell>
          <cell r="F119">
            <v>3161</v>
          </cell>
          <cell r="G119">
            <v>3465</v>
          </cell>
          <cell r="H119">
            <v>5033</v>
          </cell>
          <cell r="I119">
            <v>7438</v>
          </cell>
        </row>
        <row r="120">
          <cell r="B120" t="str">
            <v>Surgery: Bariatric</v>
          </cell>
          <cell r="C120">
            <v>4</v>
          </cell>
          <cell r="D120">
            <v>8</v>
          </cell>
          <cell r="E120">
            <v>0</v>
          </cell>
          <cell r="F120">
            <v>0</v>
          </cell>
          <cell r="G120">
            <v>0</v>
          </cell>
          <cell r="H120">
            <v>0</v>
          </cell>
          <cell r="I120">
            <v>0</v>
          </cell>
        </row>
        <row r="121">
          <cell r="B121" t="str">
            <v>Surgery: Breast</v>
          </cell>
          <cell r="C121">
            <v>7</v>
          </cell>
          <cell r="D121">
            <v>13</v>
          </cell>
          <cell r="E121">
            <v>7577</v>
          </cell>
          <cell r="F121">
            <v>3486</v>
          </cell>
          <cell r="G121">
            <v>3636</v>
          </cell>
          <cell r="H121">
            <v>4838</v>
          </cell>
          <cell r="I121">
            <v>6393</v>
          </cell>
        </row>
        <row r="122">
          <cell r="B122" t="str">
            <v>Surgery: Cardiovascular</v>
          </cell>
          <cell r="C122">
            <v>12</v>
          </cell>
          <cell r="D122">
            <v>43</v>
          </cell>
          <cell r="E122">
            <v>14346</v>
          </cell>
          <cell r="F122">
            <v>7429</v>
          </cell>
          <cell r="G122">
            <v>4470</v>
          </cell>
          <cell r="H122">
            <v>9039</v>
          </cell>
          <cell r="I122">
            <v>12809</v>
          </cell>
        </row>
        <row r="123">
          <cell r="B123" t="str">
            <v>Surgery: Colon and Rectal</v>
          </cell>
          <cell r="C123">
            <v>12</v>
          </cell>
          <cell r="D123">
            <v>33</v>
          </cell>
          <cell r="E123">
            <v>9251</v>
          </cell>
          <cell r="F123">
            <v>3943</v>
          </cell>
          <cell r="G123">
            <v>4907</v>
          </cell>
          <cell r="H123">
            <v>7439</v>
          </cell>
          <cell r="I123">
            <v>8861</v>
          </cell>
        </row>
        <row r="124">
          <cell r="B124" t="str">
            <v>Surgery: Neurological</v>
          </cell>
          <cell r="C124">
            <v>18</v>
          </cell>
          <cell r="D124">
            <v>96</v>
          </cell>
          <cell r="E124">
            <v>10770</v>
          </cell>
          <cell r="F124">
            <v>6045</v>
          </cell>
          <cell r="G124">
            <v>4545</v>
          </cell>
          <cell r="H124">
            <v>6466</v>
          </cell>
          <cell r="I124">
            <v>9264</v>
          </cell>
        </row>
        <row r="125">
          <cell r="B125" t="str">
            <v>Surgery: Oncology</v>
          </cell>
          <cell r="C125">
            <v>12</v>
          </cell>
          <cell r="D125">
            <v>37</v>
          </cell>
          <cell r="E125">
            <v>7771</v>
          </cell>
          <cell r="F125">
            <v>3798</v>
          </cell>
          <cell r="G125">
            <v>3823</v>
          </cell>
          <cell r="H125">
            <v>4324</v>
          </cell>
          <cell r="I125">
            <v>6603</v>
          </cell>
        </row>
        <row r="126">
          <cell r="B126" t="str">
            <v>Surgery: Oral</v>
          </cell>
          <cell r="C126">
            <v>5</v>
          </cell>
          <cell r="D126">
            <v>10</v>
          </cell>
          <cell r="E126">
            <v>8879</v>
          </cell>
          <cell r="F126">
            <v>4518</v>
          </cell>
          <cell r="G126">
            <v>2408</v>
          </cell>
          <cell r="H126">
            <v>3782</v>
          </cell>
          <cell r="I126">
            <v>10326</v>
          </cell>
        </row>
        <row r="127">
          <cell r="B127" t="str">
            <v>Surgery: Plastic and Reconstruction</v>
          </cell>
          <cell r="C127">
            <v>17</v>
          </cell>
          <cell r="D127">
            <v>49</v>
          </cell>
          <cell r="E127">
            <v>8842</v>
          </cell>
          <cell r="F127">
            <v>4238</v>
          </cell>
          <cell r="G127">
            <v>3813</v>
          </cell>
          <cell r="H127">
            <v>6021</v>
          </cell>
          <cell r="I127">
            <v>8246</v>
          </cell>
        </row>
        <row r="128">
          <cell r="B128" t="str">
            <v>Surgery: Plastic and Reconstruction-Hand</v>
          </cell>
          <cell r="C128">
            <v>5</v>
          </cell>
          <cell r="D128">
            <v>10</v>
          </cell>
          <cell r="E128">
            <v>9457</v>
          </cell>
          <cell r="F128">
            <v>3784</v>
          </cell>
          <cell r="G128">
            <v>5867</v>
          </cell>
          <cell r="H128">
            <v>6196</v>
          </cell>
          <cell r="I128">
            <v>8795</v>
          </cell>
        </row>
        <row r="129">
          <cell r="B129" t="str">
            <v>Surgery: Thoracic (Primary)</v>
          </cell>
          <cell r="C129">
            <v>12</v>
          </cell>
          <cell r="D129">
            <v>37</v>
          </cell>
          <cell r="E129">
            <v>9057</v>
          </cell>
          <cell r="F129">
            <v>5037</v>
          </cell>
          <cell r="G129">
            <v>2730</v>
          </cell>
          <cell r="H129">
            <v>4335</v>
          </cell>
          <cell r="I129">
            <v>9687</v>
          </cell>
        </row>
        <row r="130">
          <cell r="B130" t="str">
            <v>Surgery: Transplant</v>
          </cell>
          <cell r="C130">
            <v>12</v>
          </cell>
          <cell r="D130">
            <v>39</v>
          </cell>
          <cell r="E130">
            <v>6900</v>
          </cell>
          <cell r="F130">
            <v>3214</v>
          </cell>
          <cell r="G130">
            <v>3113</v>
          </cell>
          <cell r="H130">
            <v>5061</v>
          </cell>
          <cell r="I130">
            <v>6008</v>
          </cell>
        </row>
        <row r="131">
          <cell r="B131" t="str">
            <v>Surgery: Transplant-Kidney</v>
          </cell>
          <cell r="C131">
            <v>5</v>
          </cell>
          <cell r="D131">
            <v>8</v>
          </cell>
          <cell r="E131">
            <v>0</v>
          </cell>
          <cell r="F131">
            <v>0</v>
          </cell>
          <cell r="G131">
            <v>0</v>
          </cell>
          <cell r="H131">
            <v>0</v>
          </cell>
          <cell r="I131">
            <v>0</v>
          </cell>
        </row>
        <row r="132">
          <cell r="B132" t="str">
            <v>Surgery: Transplant-Liver</v>
          </cell>
          <cell r="C132">
            <v>2</v>
          </cell>
          <cell r="D132">
            <v>6</v>
          </cell>
          <cell r="E132">
            <v>0</v>
          </cell>
          <cell r="F132">
            <v>0</v>
          </cell>
          <cell r="G132">
            <v>0</v>
          </cell>
          <cell r="H132">
            <v>0</v>
          </cell>
          <cell r="I132">
            <v>0</v>
          </cell>
        </row>
        <row r="133">
          <cell r="B133" t="str">
            <v>Surgery: Trauma</v>
          </cell>
          <cell r="C133">
            <v>15</v>
          </cell>
          <cell r="D133">
            <v>50</v>
          </cell>
          <cell r="E133">
            <v>9537</v>
          </cell>
          <cell r="F133">
            <v>3476</v>
          </cell>
          <cell r="G133">
            <v>5287</v>
          </cell>
          <cell r="H133">
            <v>7594</v>
          </cell>
          <cell r="I133">
            <v>9678</v>
          </cell>
        </row>
        <row r="134">
          <cell r="B134" t="str">
            <v>Surgery: Trauma-Burn</v>
          </cell>
          <cell r="C134">
            <v>4</v>
          </cell>
          <cell r="D134">
            <v>10</v>
          </cell>
          <cell r="E134">
            <v>8563</v>
          </cell>
          <cell r="F134">
            <v>1926</v>
          </cell>
          <cell r="G134">
            <v>5891</v>
          </cell>
          <cell r="H134">
            <v>6809</v>
          </cell>
          <cell r="I134">
            <v>8364</v>
          </cell>
        </row>
        <row r="135">
          <cell r="B135" t="str">
            <v>Surgery: Vascular (Primary)</v>
          </cell>
          <cell r="C135">
            <v>16</v>
          </cell>
          <cell r="D135">
            <v>37</v>
          </cell>
          <cell r="E135">
            <v>9456</v>
          </cell>
          <cell r="F135">
            <v>4133</v>
          </cell>
          <cell r="G135">
            <v>4160</v>
          </cell>
          <cell r="H135">
            <v>6482</v>
          </cell>
          <cell r="I135">
            <v>8708</v>
          </cell>
        </row>
        <row r="136">
          <cell r="B136" t="str">
            <v>Urgent Care</v>
          </cell>
          <cell r="C136">
            <v>2</v>
          </cell>
          <cell r="D136">
            <v>4</v>
          </cell>
          <cell r="E136">
            <v>0</v>
          </cell>
          <cell r="F136">
            <v>0</v>
          </cell>
          <cell r="G136">
            <v>0</v>
          </cell>
          <cell r="H136">
            <v>0</v>
          </cell>
          <cell r="I136">
            <v>0</v>
          </cell>
        </row>
        <row r="137">
          <cell r="B137" t="str">
            <v>Urology</v>
          </cell>
          <cell r="C137">
            <v>19</v>
          </cell>
          <cell r="D137">
            <v>97</v>
          </cell>
          <cell r="E137">
            <v>9373</v>
          </cell>
          <cell r="F137">
            <v>3796</v>
          </cell>
          <cell r="G137">
            <v>4934</v>
          </cell>
          <cell r="H137">
            <v>6757</v>
          </cell>
          <cell r="I137">
            <v>9208</v>
          </cell>
        </row>
        <row r="138">
          <cell r="B138" t="str">
            <v>Audiologist</v>
          </cell>
          <cell r="C138">
            <v>3</v>
          </cell>
          <cell r="D138">
            <v>11</v>
          </cell>
          <cell r="E138">
            <v>919</v>
          </cell>
          <cell r="F138">
            <v>421</v>
          </cell>
          <cell r="G138">
            <v>288</v>
          </cell>
          <cell r="H138">
            <v>435</v>
          </cell>
          <cell r="I138">
            <v>993</v>
          </cell>
        </row>
        <row r="139">
          <cell r="B139" t="str">
            <v>Dietician/Nutritionist</v>
          </cell>
          <cell r="C139">
            <v>4</v>
          </cell>
          <cell r="D139">
            <v>5</v>
          </cell>
          <cell r="E139">
            <v>0</v>
          </cell>
          <cell r="F139">
            <v>0</v>
          </cell>
          <cell r="G139">
            <v>0</v>
          </cell>
          <cell r="H139">
            <v>0</v>
          </cell>
          <cell r="I139">
            <v>0</v>
          </cell>
        </row>
        <row r="140">
          <cell r="B140" t="str">
            <v>Nurse Midwife: Outpatient/Inpatient Deliveries</v>
          </cell>
          <cell r="C140">
            <v>3</v>
          </cell>
          <cell r="D140">
            <v>22</v>
          </cell>
          <cell r="E140">
            <v>2835</v>
          </cell>
          <cell r="F140">
            <v>1275</v>
          </cell>
          <cell r="G140">
            <v>1606</v>
          </cell>
          <cell r="H140">
            <v>1950</v>
          </cell>
          <cell r="I140">
            <v>2361</v>
          </cell>
        </row>
        <row r="141">
          <cell r="B141" t="str">
            <v>NP: Acute Care</v>
          </cell>
          <cell r="C141">
            <v>15</v>
          </cell>
          <cell r="D141">
            <v>71</v>
          </cell>
          <cell r="E141">
            <v>1545</v>
          </cell>
          <cell r="F141">
            <v>1160</v>
          </cell>
          <cell r="G141">
            <v>341</v>
          </cell>
          <cell r="H141">
            <v>687</v>
          </cell>
          <cell r="I141">
            <v>1258</v>
          </cell>
        </row>
        <row r="142">
          <cell r="B142" t="str">
            <v>NP: Adult</v>
          </cell>
          <cell r="C142">
            <v>6</v>
          </cell>
          <cell r="D142">
            <v>13</v>
          </cell>
          <cell r="E142">
            <v>2103</v>
          </cell>
          <cell r="F142">
            <v>945</v>
          </cell>
          <cell r="G142">
            <v>1155</v>
          </cell>
          <cell r="H142">
            <v>1635</v>
          </cell>
          <cell r="I142">
            <v>1825</v>
          </cell>
        </row>
        <row r="143">
          <cell r="B143" t="str">
            <v>NP: Cardiology</v>
          </cell>
          <cell r="C143">
            <v>4</v>
          </cell>
          <cell r="D143">
            <v>27</v>
          </cell>
          <cell r="E143">
            <v>1912</v>
          </cell>
          <cell r="F143">
            <v>716</v>
          </cell>
          <cell r="G143">
            <v>936</v>
          </cell>
          <cell r="H143">
            <v>1373</v>
          </cell>
          <cell r="I143">
            <v>1945</v>
          </cell>
        </row>
        <row r="144">
          <cell r="B144" t="str">
            <v>NP: Emergency Medicine</v>
          </cell>
          <cell r="C144">
            <v>2</v>
          </cell>
          <cell r="D144">
            <v>6</v>
          </cell>
          <cell r="E144">
            <v>0</v>
          </cell>
          <cell r="F144">
            <v>0</v>
          </cell>
          <cell r="G144">
            <v>0</v>
          </cell>
          <cell r="H144">
            <v>0</v>
          </cell>
          <cell r="I144">
            <v>0</v>
          </cell>
        </row>
        <row r="145">
          <cell r="B145" t="str">
            <v>NP: Endocrinology</v>
          </cell>
          <cell r="C145">
            <v>5</v>
          </cell>
          <cell r="D145">
            <v>12</v>
          </cell>
          <cell r="E145">
            <v>3478</v>
          </cell>
          <cell r="F145">
            <v>1538</v>
          </cell>
          <cell r="G145">
            <v>1361</v>
          </cell>
          <cell r="H145">
            <v>1856</v>
          </cell>
          <cell r="I145">
            <v>3693</v>
          </cell>
        </row>
        <row r="146">
          <cell r="B146" t="str">
            <v>NP: Family Medicine (with OB)</v>
          </cell>
          <cell r="C146">
            <v>3</v>
          </cell>
          <cell r="D146">
            <v>7</v>
          </cell>
          <cell r="E146">
            <v>0</v>
          </cell>
          <cell r="F146">
            <v>0</v>
          </cell>
          <cell r="G146">
            <v>0</v>
          </cell>
          <cell r="H146">
            <v>0</v>
          </cell>
          <cell r="I146">
            <v>0</v>
          </cell>
        </row>
        <row r="147">
          <cell r="B147" t="str">
            <v>NP: Family Medicine (without OB)</v>
          </cell>
          <cell r="C147">
            <v>9</v>
          </cell>
          <cell r="D147">
            <v>20</v>
          </cell>
          <cell r="E147">
            <v>2282</v>
          </cell>
          <cell r="F147">
            <v>1163</v>
          </cell>
          <cell r="G147">
            <v>740</v>
          </cell>
          <cell r="H147">
            <v>1415</v>
          </cell>
          <cell r="I147">
            <v>2029</v>
          </cell>
        </row>
        <row r="148">
          <cell r="B148" t="str">
            <v>NP: Gastroenterology</v>
          </cell>
          <cell r="C148">
            <v>6</v>
          </cell>
          <cell r="D148">
            <v>13</v>
          </cell>
          <cell r="E148">
            <v>2196</v>
          </cell>
          <cell r="F148">
            <v>1112</v>
          </cell>
          <cell r="G148">
            <v>1187</v>
          </cell>
          <cell r="H148">
            <v>1420</v>
          </cell>
          <cell r="I148">
            <v>1678</v>
          </cell>
        </row>
        <row r="149">
          <cell r="B149" t="str">
            <v>NP: Gerontology/Elder Health</v>
          </cell>
          <cell r="C149">
            <v>6</v>
          </cell>
          <cell r="D149">
            <v>13</v>
          </cell>
          <cell r="E149">
            <v>1583</v>
          </cell>
          <cell r="F149">
            <v>1119</v>
          </cell>
          <cell r="G149">
            <v>563</v>
          </cell>
          <cell r="H149">
            <v>744</v>
          </cell>
          <cell r="I149">
            <v>1150</v>
          </cell>
        </row>
        <row r="150">
          <cell r="B150" t="str">
            <v>NP: Hematology/Oncology</v>
          </cell>
          <cell r="C150">
            <v>8</v>
          </cell>
          <cell r="D150">
            <v>57</v>
          </cell>
          <cell r="E150">
            <v>1289</v>
          </cell>
          <cell r="F150">
            <v>901</v>
          </cell>
          <cell r="G150">
            <v>299</v>
          </cell>
          <cell r="H150">
            <v>568</v>
          </cell>
          <cell r="I150">
            <v>1074</v>
          </cell>
        </row>
        <row r="151">
          <cell r="B151" t="str">
            <v>NP: Hospitalist</v>
          </cell>
          <cell r="C151">
            <v>2</v>
          </cell>
          <cell r="D151">
            <v>5</v>
          </cell>
          <cell r="E151">
            <v>0</v>
          </cell>
          <cell r="F151">
            <v>0</v>
          </cell>
          <cell r="G151">
            <v>0</v>
          </cell>
          <cell r="H151">
            <v>0</v>
          </cell>
          <cell r="I151">
            <v>0</v>
          </cell>
        </row>
        <row r="152">
          <cell r="B152" t="str">
            <v>NP: Internal Medicine</v>
          </cell>
          <cell r="C152">
            <v>6</v>
          </cell>
          <cell r="D152">
            <v>17</v>
          </cell>
          <cell r="E152">
            <v>1871</v>
          </cell>
          <cell r="F152">
            <v>1340</v>
          </cell>
          <cell r="G152">
            <v>507</v>
          </cell>
          <cell r="H152">
            <v>656</v>
          </cell>
          <cell r="I152">
            <v>1364</v>
          </cell>
        </row>
        <row r="153">
          <cell r="B153" t="str">
            <v>NP: Neonatal/Perinatal</v>
          </cell>
          <cell r="C153">
            <v>4</v>
          </cell>
          <cell r="D153">
            <v>16</v>
          </cell>
          <cell r="E153">
            <v>384</v>
          </cell>
          <cell r="F153">
            <v>129</v>
          </cell>
          <cell r="G153">
            <v>200</v>
          </cell>
          <cell r="H153">
            <v>287</v>
          </cell>
          <cell r="I153">
            <v>424</v>
          </cell>
        </row>
        <row r="154">
          <cell r="B154" t="str">
            <v>NP: Neurology</v>
          </cell>
          <cell r="C154">
            <v>8</v>
          </cell>
          <cell r="D154">
            <v>24</v>
          </cell>
          <cell r="E154">
            <v>1817</v>
          </cell>
          <cell r="F154">
            <v>752</v>
          </cell>
          <cell r="G154">
            <v>1117</v>
          </cell>
          <cell r="H154">
            <v>1309</v>
          </cell>
          <cell r="I154">
            <v>1639</v>
          </cell>
        </row>
        <row r="155">
          <cell r="B155" t="str">
            <v>NP: Neurosurgery</v>
          </cell>
          <cell r="C155">
            <v>2</v>
          </cell>
          <cell r="D155">
            <v>9</v>
          </cell>
          <cell r="E155">
            <v>0</v>
          </cell>
          <cell r="F155">
            <v>0</v>
          </cell>
          <cell r="G155">
            <v>0</v>
          </cell>
          <cell r="H155">
            <v>0</v>
          </cell>
          <cell r="I155">
            <v>0</v>
          </cell>
        </row>
        <row r="156">
          <cell r="B156" t="str">
            <v>NP: Pediatric/Child Health</v>
          </cell>
          <cell r="C156">
            <v>6</v>
          </cell>
          <cell r="D156">
            <v>51</v>
          </cell>
          <cell r="E156">
            <v>1670</v>
          </cell>
          <cell r="F156">
            <v>840</v>
          </cell>
          <cell r="G156">
            <v>463</v>
          </cell>
          <cell r="H156">
            <v>957</v>
          </cell>
          <cell r="I156">
            <v>1684</v>
          </cell>
        </row>
        <row r="157">
          <cell r="B157" t="str">
            <v>NP: Psychiatry</v>
          </cell>
          <cell r="C157">
            <v>4</v>
          </cell>
          <cell r="D157">
            <v>12</v>
          </cell>
          <cell r="E157">
            <v>2375</v>
          </cell>
          <cell r="F157">
            <v>1137</v>
          </cell>
          <cell r="G157">
            <v>430</v>
          </cell>
          <cell r="H157">
            <v>1435</v>
          </cell>
          <cell r="I157">
            <v>2675</v>
          </cell>
        </row>
        <row r="158">
          <cell r="B158" t="str">
            <v>NP: OB/GYN/Women's Health</v>
          </cell>
          <cell r="C158">
            <v>3</v>
          </cell>
          <cell r="D158">
            <v>14</v>
          </cell>
          <cell r="E158">
            <v>3250</v>
          </cell>
          <cell r="F158">
            <v>998</v>
          </cell>
          <cell r="G158">
            <v>1568</v>
          </cell>
          <cell r="H158">
            <v>2503</v>
          </cell>
          <cell r="I158">
            <v>3325</v>
          </cell>
        </row>
        <row r="159">
          <cell r="B159" t="str">
            <v>NP: Orthopedics</v>
          </cell>
          <cell r="C159">
            <v>1</v>
          </cell>
          <cell r="D159">
            <v>1</v>
          </cell>
          <cell r="E159">
            <v>0</v>
          </cell>
          <cell r="F159">
            <v>0</v>
          </cell>
          <cell r="G159">
            <v>0</v>
          </cell>
          <cell r="H159">
            <v>0</v>
          </cell>
          <cell r="I159">
            <v>0</v>
          </cell>
        </row>
        <row r="160">
          <cell r="B160" t="str">
            <v>NP: Pulmonary Medicine</v>
          </cell>
          <cell r="C160">
            <v>5</v>
          </cell>
          <cell r="D160">
            <v>12</v>
          </cell>
          <cell r="E160">
            <v>1467</v>
          </cell>
          <cell r="F160">
            <v>1052</v>
          </cell>
          <cell r="G160">
            <v>295</v>
          </cell>
          <cell r="H160">
            <v>564</v>
          </cell>
          <cell r="I160">
            <v>1257</v>
          </cell>
        </row>
        <row r="161">
          <cell r="B161" t="str">
            <v>Nurse Practitioner (Surgical)</v>
          </cell>
          <cell r="C161">
            <v>9</v>
          </cell>
          <cell r="D161">
            <v>20</v>
          </cell>
          <cell r="E161">
            <v>1709</v>
          </cell>
          <cell r="F161">
            <v>1127</v>
          </cell>
          <cell r="G161">
            <v>457</v>
          </cell>
          <cell r="H161">
            <v>720</v>
          </cell>
          <cell r="I161">
            <v>1453</v>
          </cell>
        </row>
        <row r="162">
          <cell r="B162" t="str">
            <v>Nurse Practitioner (Primary Care)</v>
          </cell>
          <cell r="C162">
            <v>5</v>
          </cell>
          <cell r="D162">
            <v>33</v>
          </cell>
          <cell r="E162">
            <v>1893</v>
          </cell>
          <cell r="F162">
            <v>1119</v>
          </cell>
          <cell r="G162">
            <v>730</v>
          </cell>
          <cell r="H162">
            <v>943</v>
          </cell>
          <cell r="I162">
            <v>1546</v>
          </cell>
        </row>
        <row r="163">
          <cell r="B163" t="str">
            <v>Nurse Practitioner (Nonsurgical/Nonprimary Care)</v>
          </cell>
          <cell r="C163">
            <v>13</v>
          </cell>
          <cell r="D163">
            <v>38</v>
          </cell>
          <cell r="E163">
            <v>2069</v>
          </cell>
          <cell r="F163">
            <v>769</v>
          </cell>
          <cell r="G163">
            <v>1191</v>
          </cell>
          <cell r="H163">
            <v>1442</v>
          </cell>
          <cell r="I163">
            <v>2061</v>
          </cell>
        </row>
        <row r="164">
          <cell r="B164" t="str">
            <v>Occupational Therapist</v>
          </cell>
          <cell r="C164">
            <v>1</v>
          </cell>
          <cell r="D164">
            <v>2</v>
          </cell>
          <cell r="E164">
            <v>0</v>
          </cell>
          <cell r="F164">
            <v>0</v>
          </cell>
          <cell r="G164">
            <v>0</v>
          </cell>
          <cell r="H164">
            <v>0</v>
          </cell>
          <cell r="I164">
            <v>0</v>
          </cell>
        </row>
        <row r="165">
          <cell r="B165" t="str">
            <v>Optometrist</v>
          </cell>
          <cell r="C165">
            <v>7</v>
          </cell>
          <cell r="D165">
            <v>18</v>
          </cell>
          <cell r="E165">
            <v>2935</v>
          </cell>
          <cell r="F165">
            <v>1121</v>
          </cell>
          <cell r="G165">
            <v>1592</v>
          </cell>
          <cell r="H165">
            <v>1690</v>
          </cell>
          <cell r="I165">
            <v>2764</v>
          </cell>
        </row>
        <row r="166">
          <cell r="B166" t="str">
            <v>PhD</v>
          </cell>
          <cell r="C166">
            <v>2</v>
          </cell>
          <cell r="D166">
            <v>6</v>
          </cell>
          <cell r="E166">
            <v>0</v>
          </cell>
          <cell r="F166">
            <v>0</v>
          </cell>
          <cell r="G166">
            <v>0</v>
          </cell>
          <cell r="H166">
            <v>0</v>
          </cell>
          <cell r="I166">
            <v>0</v>
          </cell>
        </row>
        <row r="167">
          <cell r="B167" t="str">
            <v>Physical Therapist</v>
          </cell>
          <cell r="C167">
            <v>1</v>
          </cell>
          <cell r="D167">
            <v>4</v>
          </cell>
          <cell r="E167">
            <v>0</v>
          </cell>
          <cell r="F167">
            <v>0</v>
          </cell>
          <cell r="G167">
            <v>0</v>
          </cell>
          <cell r="H167">
            <v>0</v>
          </cell>
          <cell r="I167">
            <v>0</v>
          </cell>
        </row>
        <row r="168">
          <cell r="B168" t="str">
            <v>Physician Assistant (Surgical)</v>
          </cell>
          <cell r="C168">
            <v>6</v>
          </cell>
          <cell r="D168">
            <v>25</v>
          </cell>
          <cell r="E168">
            <v>935</v>
          </cell>
          <cell r="F168">
            <v>1016</v>
          </cell>
          <cell r="G168">
            <v>206</v>
          </cell>
          <cell r="H168">
            <v>258</v>
          </cell>
          <cell r="I168">
            <v>480</v>
          </cell>
        </row>
        <row r="169">
          <cell r="B169" t="str">
            <v>PA: Orthopedic (Surgical)</v>
          </cell>
          <cell r="C169">
            <v>3</v>
          </cell>
          <cell r="D169">
            <v>19</v>
          </cell>
          <cell r="E169">
            <v>2140</v>
          </cell>
          <cell r="F169">
            <v>921</v>
          </cell>
          <cell r="G169">
            <v>1104</v>
          </cell>
          <cell r="H169">
            <v>1296</v>
          </cell>
          <cell r="I169">
            <v>1731</v>
          </cell>
        </row>
        <row r="170">
          <cell r="B170" t="str">
            <v>PA: Surgery: General</v>
          </cell>
          <cell r="C170">
            <v>1</v>
          </cell>
          <cell r="D170">
            <v>6</v>
          </cell>
          <cell r="E170">
            <v>0</v>
          </cell>
          <cell r="F170">
            <v>0</v>
          </cell>
          <cell r="G170">
            <v>0</v>
          </cell>
          <cell r="H170">
            <v>0</v>
          </cell>
          <cell r="I170">
            <v>0</v>
          </cell>
        </row>
        <row r="171">
          <cell r="B171" t="str">
            <v>PA: Cardiothoracic Surgery</v>
          </cell>
          <cell r="C171">
            <v>5</v>
          </cell>
          <cell r="D171">
            <v>10</v>
          </cell>
          <cell r="E171">
            <v>343</v>
          </cell>
          <cell r="F171">
            <v>226</v>
          </cell>
          <cell r="G171">
            <v>106</v>
          </cell>
          <cell r="H171">
            <v>149</v>
          </cell>
          <cell r="I171">
            <v>322</v>
          </cell>
        </row>
        <row r="172">
          <cell r="B172" t="str">
            <v>PA: Neurosurgery</v>
          </cell>
          <cell r="C172">
            <v>3</v>
          </cell>
          <cell r="D172">
            <v>5</v>
          </cell>
          <cell r="E172">
            <v>0</v>
          </cell>
          <cell r="F172">
            <v>0</v>
          </cell>
          <cell r="G172">
            <v>0</v>
          </cell>
          <cell r="H172">
            <v>0</v>
          </cell>
          <cell r="I172">
            <v>0</v>
          </cell>
        </row>
        <row r="173">
          <cell r="B173" t="str">
            <v>Physician Assistant (Primary Care)</v>
          </cell>
          <cell r="C173">
            <v>7</v>
          </cell>
          <cell r="D173">
            <v>9</v>
          </cell>
          <cell r="E173">
            <v>0</v>
          </cell>
          <cell r="F173">
            <v>0</v>
          </cell>
          <cell r="G173">
            <v>0</v>
          </cell>
          <cell r="H173">
            <v>0</v>
          </cell>
          <cell r="I173">
            <v>0</v>
          </cell>
        </row>
        <row r="174">
          <cell r="B174" t="str">
            <v>PA: Family Medicine (with OB)</v>
          </cell>
          <cell r="C174">
            <v>4</v>
          </cell>
          <cell r="D174">
            <v>7</v>
          </cell>
          <cell r="E174">
            <v>0</v>
          </cell>
          <cell r="F174">
            <v>0</v>
          </cell>
          <cell r="G174">
            <v>0</v>
          </cell>
          <cell r="H174">
            <v>0</v>
          </cell>
          <cell r="I174">
            <v>0</v>
          </cell>
        </row>
        <row r="175">
          <cell r="B175" t="str">
            <v>PA: Family Medicine (without OB)</v>
          </cell>
          <cell r="C175">
            <v>5</v>
          </cell>
          <cell r="D175">
            <v>5</v>
          </cell>
          <cell r="E175">
            <v>0</v>
          </cell>
          <cell r="F175">
            <v>0</v>
          </cell>
          <cell r="G175">
            <v>0</v>
          </cell>
          <cell r="H175">
            <v>0</v>
          </cell>
          <cell r="I175">
            <v>0</v>
          </cell>
        </row>
        <row r="176">
          <cell r="B176" t="str">
            <v>PA: Internal Medicine</v>
          </cell>
          <cell r="C176">
            <v>3</v>
          </cell>
          <cell r="D176">
            <v>13</v>
          </cell>
          <cell r="E176">
            <v>978</v>
          </cell>
          <cell r="F176">
            <v>723</v>
          </cell>
          <cell r="G176">
            <v>133</v>
          </cell>
          <cell r="H176">
            <v>491</v>
          </cell>
          <cell r="I176">
            <v>746</v>
          </cell>
        </row>
        <row r="177">
          <cell r="B177" t="str">
            <v>PA: Pediatric</v>
          </cell>
          <cell r="C177">
            <v>1</v>
          </cell>
          <cell r="D177">
            <v>2</v>
          </cell>
          <cell r="E177">
            <v>0</v>
          </cell>
          <cell r="F177">
            <v>0</v>
          </cell>
          <cell r="G177">
            <v>0</v>
          </cell>
          <cell r="H177">
            <v>0</v>
          </cell>
          <cell r="I177">
            <v>0</v>
          </cell>
        </row>
        <row r="178">
          <cell r="B178" t="str">
            <v>PA: OB/GYN/Women's Health</v>
          </cell>
          <cell r="C178">
            <v>2</v>
          </cell>
          <cell r="D178">
            <v>2</v>
          </cell>
          <cell r="E178">
            <v>0</v>
          </cell>
          <cell r="F178">
            <v>0</v>
          </cell>
          <cell r="G178">
            <v>0</v>
          </cell>
          <cell r="H178">
            <v>0</v>
          </cell>
          <cell r="I178">
            <v>0</v>
          </cell>
        </row>
        <row r="179">
          <cell r="B179" t="str">
            <v>Physician Assistant (Nonsurgical/Nonprimary Care)</v>
          </cell>
          <cell r="C179">
            <v>10</v>
          </cell>
          <cell r="D179">
            <v>29</v>
          </cell>
          <cell r="E179">
            <v>1790</v>
          </cell>
          <cell r="F179">
            <v>1020</v>
          </cell>
          <cell r="G179">
            <v>582</v>
          </cell>
          <cell r="H179">
            <v>895</v>
          </cell>
          <cell r="I179">
            <v>1794</v>
          </cell>
        </row>
        <row r="180">
          <cell r="B180" t="str">
            <v>PA: Dermatology</v>
          </cell>
          <cell r="C180">
            <v>1</v>
          </cell>
          <cell r="D180">
            <v>4</v>
          </cell>
          <cell r="E180">
            <v>0</v>
          </cell>
          <cell r="F180">
            <v>0</v>
          </cell>
          <cell r="G180">
            <v>0</v>
          </cell>
          <cell r="H180">
            <v>0</v>
          </cell>
          <cell r="I180">
            <v>0</v>
          </cell>
        </row>
        <row r="181">
          <cell r="B181" t="str">
            <v>PA: Emergency Medicine</v>
          </cell>
          <cell r="C181">
            <v>2</v>
          </cell>
          <cell r="D181">
            <v>25</v>
          </cell>
          <cell r="E181">
            <v>0</v>
          </cell>
          <cell r="F181">
            <v>0</v>
          </cell>
          <cell r="G181">
            <v>0</v>
          </cell>
          <cell r="H181">
            <v>0</v>
          </cell>
          <cell r="I181">
            <v>0</v>
          </cell>
        </row>
        <row r="182">
          <cell r="B182" t="str">
            <v>PA: Gastroenterology</v>
          </cell>
          <cell r="C182">
            <v>3</v>
          </cell>
          <cell r="D182">
            <v>5</v>
          </cell>
          <cell r="E182">
            <v>0</v>
          </cell>
          <cell r="F182">
            <v>0</v>
          </cell>
          <cell r="G182">
            <v>0</v>
          </cell>
          <cell r="H182">
            <v>0</v>
          </cell>
          <cell r="I182">
            <v>0</v>
          </cell>
        </row>
        <row r="183">
          <cell r="B183" t="str">
            <v>PA: Neurology</v>
          </cell>
          <cell r="C183">
            <v>3</v>
          </cell>
          <cell r="D183">
            <v>8</v>
          </cell>
          <cell r="E183">
            <v>0</v>
          </cell>
          <cell r="F183">
            <v>0</v>
          </cell>
          <cell r="G183">
            <v>0</v>
          </cell>
          <cell r="H183">
            <v>0</v>
          </cell>
          <cell r="I183">
            <v>0</v>
          </cell>
        </row>
        <row r="184">
          <cell r="B184" t="str">
            <v>PA: Orthopedic (Nonsurgical/Nonprimary Care)</v>
          </cell>
          <cell r="C184">
            <v>2</v>
          </cell>
          <cell r="D184">
            <v>4</v>
          </cell>
          <cell r="E184">
            <v>0</v>
          </cell>
          <cell r="F184">
            <v>0</v>
          </cell>
          <cell r="G184">
            <v>0</v>
          </cell>
          <cell r="H184">
            <v>0</v>
          </cell>
          <cell r="I184">
            <v>0</v>
          </cell>
        </row>
        <row r="185">
          <cell r="B185" t="str">
            <v>PA: Pulmonary Medicine</v>
          </cell>
          <cell r="C185">
            <v>1</v>
          </cell>
          <cell r="D185">
            <v>1</v>
          </cell>
          <cell r="E185">
            <v>0</v>
          </cell>
          <cell r="F185">
            <v>0</v>
          </cell>
          <cell r="G185">
            <v>0</v>
          </cell>
          <cell r="H185">
            <v>0</v>
          </cell>
          <cell r="I185">
            <v>0</v>
          </cell>
        </row>
        <row r="186">
          <cell r="B186" t="str">
            <v>PA: Urgent Care (Nonsurgical/Nonprimary Care)</v>
          </cell>
          <cell r="C186">
            <v>1</v>
          </cell>
          <cell r="D186">
            <v>1</v>
          </cell>
          <cell r="E186">
            <v>0</v>
          </cell>
          <cell r="F186">
            <v>0</v>
          </cell>
          <cell r="G186">
            <v>0</v>
          </cell>
          <cell r="H186">
            <v>0</v>
          </cell>
          <cell r="I186">
            <v>0</v>
          </cell>
        </row>
        <row r="187">
          <cell r="B187" t="str">
            <v>Psychologist</v>
          </cell>
          <cell r="C187">
            <v>30</v>
          </cell>
          <cell r="D187">
            <v>120</v>
          </cell>
          <cell r="E187">
            <v>2574</v>
          </cell>
          <cell r="F187">
            <v>1123</v>
          </cell>
          <cell r="G187">
            <v>1163</v>
          </cell>
          <cell r="H187">
            <v>1804</v>
          </cell>
          <cell r="I187">
            <v>2489</v>
          </cell>
        </row>
      </sheetData>
      <sheetData sheetId="5"/>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0"/>
  <sheetViews>
    <sheetView showGridLines="0" tabSelected="1" zoomScale="90" zoomScaleNormal="90" workbookViewId="0">
      <selection sqref="A1:B1"/>
    </sheetView>
  </sheetViews>
  <sheetFormatPr defaultColWidth="9.140625" defaultRowHeight="12.75"/>
  <cols>
    <col min="1" max="1" width="19.42578125" style="235" bestFit="1" customWidth="1"/>
    <col min="2" max="2" width="65" style="235" customWidth="1"/>
    <col min="3" max="3" width="20.42578125" style="235" customWidth="1"/>
    <col min="4" max="4" width="12.28515625" style="235" bestFit="1" customWidth="1"/>
    <col min="5" max="9" width="10" style="235" bestFit="1" customWidth="1"/>
    <col min="10" max="16384" width="9.140625" style="235"/>
  </cols>
  <sheetData>
    <row r="1" spans="1:11" ht="15.75">
      <c r="A1" s="270" t="s">
        <v>23</v>
      </c>
      <c r="B1" s="270"/>
    </row>
    <row r="2" spans="1:11" ht="15.75">
      <c r="A2" s="238" t="s">
        <v>189</v>
      </c>
      <c r="B2" s="239" t="str">
        <f>INDEX([2]Lists!$H:$H,MATCH(A2,[2]Lists!$G:$G,0))</f>
        <v>Department</v>
      </c>
    </row>
    <row r="4" spans="1:11" s="244" customFormat="1" ht="37.5" customHeight="1">
      <c r="A4" s="254" t="s">
        <v>623</v>
      </c>
      <c r="B4" s="272" t="s">
        <v>628</v>
      </c>
      <c r="C4" s="272"/>
      <c r="D4" s="272"/>
      <c r="E4" s="272"/>
      <c r="F4" s="272"/>
      <c r="G4" s="272"/>
      <c r="H4" s="272"/>
      <c r="I4" s="272"/>
    </row>
    <row r="5" spans="1:11" customFormat="1">
      <c r="A5" s="255"/>
      <c r="B5" s="271" t="s">
        <v>627</v>
      </c>
      <c r="C5" s="271"/>
      <c r="D5" s="271"/>
      <c r="E5" s="271"/>
      <c r="F5" s="271"/>
      <c r="G5" s="271"/>
      <c r="H5" s="271"/>
      <c r="I5" s="271"/>
    </row>
    <row r="6" spans="1:11" customFormat="1" ht="25.5">
      <c r="B6" s="246" t="s">
        <v>626</v>
      </c>
      <c r="C6" s="264"/>
      <c r="D6" s="264"/>
      <c r="E6" s="264"/>
      <c r="F6" s="264"/>
      <c r="G6" s="264"/>
      <c r="H6" s="264"/>
      <c r="I6" s="264"/>
    </row>
    <row r="7" spans="1:11">
      <c r="B7" s="265" t="s">
        <v>629</v>
      </c>
      <c r="C7" s="263"/>
      <c r="D7" s="263"/>
      <c r="E7" s="263"/>
      <c r="F7" s="263"/>
      <c r="G7" s="263"/>
      <c r="H7" s="263"/>
      <c r="I7" s="263"/>
    </row>
    <row r="8" spans="1:11">
      <c r="B8" s="265"/>
      <c r="C8" s="263"/>
      <c r="D8" s="263"/>
      <c r="E8" s="263"/>
      <c r="F8" s="263"/>
      <c r="G8" s="263"/>
      <c r="H8" s="263"/>
      <c r="I8" s="263"/>
    </row>
    <row r="9" spans="1:11">
      <c r="B9" s="265"/>
      <c r="C9" s="263"/>
      <c r="D9" s="263"/>
      <c r="E9" s="263"/>
      <c r="F9" s="263"/>
      <c r="G9" s="263"/>
      <c r="H9" s="263"/>
      <c r="I9" s="263"/>
    </row>
    <row r="10" spans="1:11">
      <c r="B10" s="265"/>
      <c r="C10" s="263"/>
      <c r="D10" s="263"/>
      <c r="E10" s="263"/>
      <c r="F10" s="263"/>
      <c r="G10" s="263"/>
      <c r="H10" s="263"/>
      <c r="I10" s="263"/>
    </row>
    <row r="11" spans="1:11">
      <c r="B11" s="265"/>
      <c r="C11" s="263"/>
      <c r="D11" s="263"/>
      <c r="E11" s="263"/>
      <c r="F11" s="263"/>
      <c r="G11" s="263"/>
      <c r="H11" s="263"/>
      <c r="I11" s="263"/>
      <c r="J11" s="245"/>
      <c r="K11" s="245"/>
    </row>
    <row r="12" spans="1:11">
      <c r="B12" s="265"/>
      <c r="C12" s="263"/>
      <c r="D12" s="263"/>
      <c r="E12" s="263"/>
      <c r="F12" s="263"/>
      <c r="G12" s="263"/>
      <c r="H12" s="263"/>
      <c r="I12" s="263"/>
      <c r="J12" s="245"/>
      <c r="K12" s="245"/>
    </row>
    <row r="13" spans="1:11">
      <c r="B13" s="266" t="s">
        <v>617</v>
      </c>
      <c r="C13" s="273"/>
      <c r="D13" s="273"/>
      <c r="E13" s="273"/>
      <c r="F13" s="273"/>
      <c r="G13" s="273"/>
      <c r="H13" s="273"/>
      <c r="I13" s="273"/>
      <c r="J13" s="245"/>
      <c r="K13" s="245"/>
    </row>
    <row r="14" spans="1:11">
      <c r="B14" s="267"/>
      <c r="C14" s="273"/>
      <c r="D14" s="273"/>
      <c r="E14" s="273"/>
      <c r="F14" s="273"/>
      <c r="G14" s="273"/>
      <c r="H14" s="273"/>
      <c r="I14" s="273"/>
      <c r="J14" s="245"/>
      <c r="K14" s="245"/>
    </row>
    <row r="15" spans="1:11" s="244" customFormat="1"/>
    <row r="16" spans="1:11" customFormat="1">
      <c r="A16" s="255"/>
      <c r="B16" s="271" t="s">
        <v>314</v>
      </c>
      <c r="C16" s="271"/>
      <c r="D16" s="271"/>
      <c r="E16" s="271"/>
      <c r="F16" s="271"/>
      <c r="G16" s="271"/>
      <c r="H16" s="271"/>
      <c r="I16" s="271"/>
    </row>
    <row r="17" spans="1:9" customFormat="1" ht="50.25">
      <c r="B17" s="260" t="s">
        <v>631</v>
      </c>
      <c r="C17" s="264"/>
      <c r="D17" s="264"/>
      <c r="E17" s="264"/>
      <c r="F17" s="264"/>
      <c r="G17" s="264"/>
      <c r="H17" s="264"/>
      <c r="I17" s="264"/>
    </row>
    <row r="18" spans="1:9" customFormat="1" ht="25.5">
      <c r="B18" s="246" t="s">
        <v>632</v>
      </c>
      <c r="C18" s="264"/>
      <c r="D18" s="264"/>
      <c r="E18" s="264"/>
      <c r="F18" s="264"/>
      <c r="G18" s="264"/>
      <c r="H18" s="264"/>
      <c r="I18" s="264"/>
    </row>
    <row r="19" spans="1:9" customFormat="1" ht="12.4" customHeight="1">
      <c r="A19" s="235"/>
      <c r="B19" s="268" t="s">
        <v>624</v>
      </c>
      <c r="C19" s="249"/>
      <c r="D19" s="250" t="s">
        <v>620</v>
      </c>
      <c r="E19" s="250" t="s">
        <v>621</v>
      </c>
      <c r="F19" s="251" t="s">
        <v>622</v>
      </c>
    </row>
    <row r="20" spans="1:9" customFormat="1" ht="38.25">
      <c r="B20" s="269"/>
      <c r="C20" s="257" t="s">
        <v>625</v>
      </c>
      <c r="D20" s="258">
        <v>0</v>
      </c>
      <c r="E20" s="258">
        <v>0</v>
      </c>
      <c r="F20" s="259">
        <v>0</v>
      </c>
    </row>
    <row r="21" spans="1:9" ht="37.5">
      <c r="B21" s="246" t="s">
        <v>630</v>
      </c>
      <c r="C21" s="248"/>
    </row>
    <row r="22" spans="1:9">
      <c r="B22" s="240"/>
    </row>
    <row r="23" spans="1:9">
      <c r="A23" s="256"/>
      <c r="B23" s="261" t="s">
        <v>607</v>
      </c>
      <c r="C23" s="261"/>
      <c r="D23" s="261"/>
      <c r="E23" s="261"/>
      <c r="F23" s="261"/>
      <c r="G23" s="261"/>
      <c r="H23" s="261"/>
      <c r="I23" s="261"/>
    </row>
    <row r="24" spans="1:9" ht="25.5">
      <c r="B24" s="246" t="s">
        <v>608</v>
      </c>
      <c r="C24" s="247"/>
    </row>
    <row r="25" spans="1:9">
      <c r="B25" s="252" t="s">
        <v>609</v>
      </c>
      <c r="C25" s="247"/>
    </row>
    <row r="26" spans="1:9">
      <c r="B26" s="252" t="s">
        <v>610</v>
      </c>
      <c r="C26" s="247"/>
    </row>
    <row r="27" spans="1:9">
      <c r="B27" s="253" t="s">
        <v>611</v>
      </c>
      <c r="C27" s="247"/>
    </row>
    <row r="28" spans="1:9">
      <c r="B28" s="241"/>
    </row>
    <row r="29" spans="1:9">
      <c r="A29" s="256"/>
      <c r="B29" s="261" t="s">
        <v>612</v>
      </c>
      <c r="C29" s="261"/>
      <c r="D29" s="261"/>
      <c r="E29" s="261"/>
      <c r="F29" s="261"/>
      <c r="G29" s="261"/>
      <c r="H29" s="261"/>
      <c r="I29" s="261"/>
    </row>
    <row r="30" spans="1:9" ht="38.25">
      <c r="B30" s="252" t="s">
        <v>619</v>
      </c>
      <c r="C30" s="263"/>
      <c r="D30" s="263"/>
      <c r="E30" s="263"/>
      <c r="F30" s="263"/>
      <c r="G30" s="263"/>
      <c r="H30" s="263"/>
      <c r="I30" s="263"/>
    </row>
    <row r="31" spans="1:9" ht="25.5">
      <c r="B31" s="252" t="s">
        <v>613</v>
      </c>
      <c r="C31" s="263"/>
      <c r="D31" s="263"/>
      <c r="E31" s="263"/>
      <c r="F31" s="263"/>
      <c r="G31" s="263"/>
      <c r="H31" s="263"/>
      <c r="I31" s="263"/>
    </row>
    <row r="32" spans="1:9" ht="25.5">
      <c r="B32" s="252" t="s">
        <v>614</v>
      </c>
      <c r="C32" s="264"/>
      <c r="D32" s="264"/>
      <c r="E32" s="264"/>
      <c r="F32" s="264"/>
      <c r="G32" s="264"/>
      <c r="H32" s="264"/>
      <c r="I32" s="264"/>
    </row>
    <row r="33" spans="2:11" ht="25.5">
      <c r="B33" s="252" t="s">
        <v>615</v>
      </c>
      <c r="C33" s="264"/>
      <c r="D33" s="264"/>
      <c r="E33" s="264"/>
      <c r="F33" s="264"/>
      <c r="G33" s="264"/>
      <c r="H33" s="264"/>
      <c r="I33" s="264"/>
    </row>
    <row r="34" spans="2:11" ht="30" customHeight="1">
      <c r="B34" s="253" t="s">
        <v>616</v>
      </c>
      <c r="C34" s="263"/>
      <c r="D34" s="263"/>
      <c r="E34" s="263"/>
      <c r="F34" s="263"/>
      <c r="G34" s="263"/>
      <c r="H34" s="263"/>
      <c r="I34" s="263"/>
    </row>
    <row r="35" spans="2:11">
      <c r="B35" s="242"/>
      <c r="C35" s="242"/>
      <c r="D35" s="242"/>
      <c r="E35" s="242"/>
      <c r="F35" s="242"/>
      <c r="G35" s="242"/>
      <c r="H35" s="242"/>
      <c r="I35" s="242"/>
      <c r="J35" s="245"/>
      <c r="K35" s="245"/>
    </row>
    <row r="36" spans="2:11">
      <c r="B36" s="235" t="s">
        <v>618</v>
      </c>
      <c r="C36" s="243" t="s">
        <v>193</v>
      </c>
      <c r="D36" s="235" t="s">
        <v>353</v>
      </c>
      <c r="J36" s="245"/>
      <c r="K36" s="245"/>
    </row>
    <row r="37" spans="2:11">
      <c r="B37" s="235" t="s">
        <v>348</v>
      </c>
      <c r="C37" s="243" t="s">
        <v>641</v>
      </c>
      <c r="D37" s="235" t="s">
        <v>353</v>
      </c>
      <c r="K37" s="245"/>
    </row>
    <row r="38" spans="2:11">
      <c r="B38" s="235" t="s">
        <v>344</v>
      </c>
      <c r="C38" s="243" t="s">
        <v>386</v>
      </c>
      <c r="D38" s="235" t="s">
        <v>353</v>
      </c>
      <c r="J38" s="245"/>
      <c r="K38" s="245"/>
    </row>
    <row r="39" spans="2:11">
      <c r="B39" s="235" t="s">
        <v>345</v>
      </c>
      <c r="C39" s="243" t="s">
        <v>642</v>
      </c>
      <c r="D39" s="235" t="s">
        <v>353</v>
      </c>
      <c r="J39" s="245"/>
      <c r="K39" s="245"/>
    </row>
    <row r="40" spans="2:11">
      <c r="B40" s="235" t="s">
        <v>355</v>
      </c>
      <c r="C40" s="262"/>
      <c r="D40" s="262"/>
      <c r="E40" s="262"/>
      <c r="J40" s="245"/>
      <c r="K40" s="245"/>
    </row>
  </sheetData>
  <mergeCells count="20">
    <mergeCell ref="B7:B12"/>
    <mergeCell ref="B13:B14"/>
    <mergeCell ref="B19:B20"/>
    <mergeCell ref="A1:B1"/>
    <mergeCell ref="C18:I18"/>
    <mergeCell ref="B16:I16"/>
    <mergeCell ref="B5:I5"/>
    <mergeCell ref="C6:I6"/>
    <mergeCell ref="C17:I17"/>
    <mergeCell ref="B4:I4"/>
    <mergeCell ref="C7:I12"/>
    <mergeCell ref="C13:I14"/>
    <mergeCell ref="B23:I23"/>
    <mergeCell ref="B29:I29"/>
    <mergeCell ref="C40:E40"/>
    <mergeCell ref="C30:I30"/>
    <mergeCell ref="C34:I34"/>
    <mergeCell ref="C31:I31"/>
    <mergeCell ref="C32:I32"/>
    <mergeCell ref="C33:I33"/>
  </mergeCells>
  <pageMargins left="0.7" right="0.7" top="0.75" bottom="0.75" header="0.3" footer="0.3"/>
  <pageSetup scale="56" orientation="portrait" r:id="rId1"/>
  <colBreaks count="1" manualBreakCount="1">
    <brk id="9" max="1048575" man="1"/>
  </col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Lists!$G$3:$G$22</xm:f>
          </x14:formula1>
          <xm:sqref>A2</xm:sqref>
        </x14:dataValidation>
        <x14:dataValidation type="list" allowBlank="1" showInputMessage="1" showErrorMessage="1">
          <x14:formula1>
            <xm:f>Lists!$K$3:$K$5</xm:f>
          </x14:formula1>
          <xm:sqref>C36</xm:sqref>
        </x14:dataValidation>
        <x14:dataValidation type="list" allowBlank="1" showInputMessage="1" showErrorMessage="1">
          <x14:formula1>
            <xm:f>Lists!$G$26:$G$30</xm:f>
          </x14:formula1>
          <xm:sqref>C37</xm:sqref>
        </x14:dataValidation>
        <x14:dataValidation type="list" allowBlank="1" showInputMessage="1" showErrorMessage="1">
          <x14:formula1>
            <xm:f>Lists!$K$26:$K$32</xm:f>
          </x14:formula1>
          <xm:sqref>C38</xm:sqref>
        </x14:dataValidation>
        <x14:dataValidation type="list" allowBlank="1" showInputMessage="1" showErrorMessage="1">
          <x14:formula1>
            <xm:f>Lists!$G$33:$G$36</xm:f>
          </x14:formula1>
          <xm:sqref>C39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workbookViewId="0">
      <pane ySplit="3" topLeftCell="A52" activePane="bottomLeft" state="frozen"/>
      <selection activeCell="B12" sqref="B12:J15"/>
      <selection pane="bottomLeft" activeCell="B12" sqref="B12:J15"/>
    </sheetView>
  </sheetViews>
  <sheetFormatPr defaultColWidth="15.140625" defaultRowHeight="15"/>
  <cols>
    <col min="1" max="1" width="57.140625" style="218" customWidth="1"/>
    <col min="2" max="2" width="6.5703125" style="218" bestFit="1" customWidth="1"/>
    <col min="3" max="3" width="10.140625" style="218" bestFit="1" customWidth="1"/>
    <col min="4" max="8" width="18.140625" style="218" bestFit="1" customWidth="1"/>
    <col min="9" max="16384" width="15.140625" style="218"/>
  </cols>
  <sheetData>
    <row r="1" spans="1:8" ht="26.25">
      <c r="A1" s="310" t="s">
        <v>393</v>
      </c>
      <c r="B1" s="310"/>
      <c r="C1" s="310"/>
      <c r="D1" s="310"/>
      <c r="E1" s="310"/>
      <c r="F1" s="310"/>
      <c r="G1" s="310"/>
      <c r="H1" s="310"/>
    </row>
    <row r="2" spans="1:8">
      <c r="A2" s="311" t="s">
        <v>394</v>
      </c>
      <c r="B2" s="311"/>
      <c r="C2" s="311"/>
      <c r="D2" s="311"/>
      <c r="E2" s="311"/>
      <c r="F2" s="311"/>
      <c r="G2" s="311"/>
      <c r="H2" s="311"/>
    </row>
    <row r="3" spans="1:8">
      <c r="A3" s="219" t="s">
        <v>492</v>
      </c>
      <c r="B3" s="219" t="s">
        <v>195</v>
      </c>
      <c r="C3" s="219" t="s">
        <v>395</v>
      </c>
      <c r="D3" s="219" t="s">
        <v>396</v>
      </c>
      <c r="E3" s="219" t="s">
        <v>397</v>
      </c>
      <c r="F3" s="219" t="s">
        <v>398</v>
      </c>
      <c r="G3" s="219" t="s">
        <v>399</v>
      </c>
      <c r="H3" s="219" t="s">
        <v>400</v>
      </c>
    </row>
    <row r="4" spans="1:8">
      <c r="A4" s="220" t="s">
        <v>401</v>
      </c>
      <c r="B4" s="220">
        <v>20</v>
      </c>
      <c r="C4" s="221">
        <v>4881</v>
      </c>
      <c r="D4" s="221">
        <v>2337</v>
      </c>
      <c r="E4" s="221">
        <v>4955</v>
      </c>
      <c r="F4" s="221">
        <v>5422</v>
      </c>
      <c r="G4" s="221">
        <v>7649</v>
      </c>
      <c r="H4" s="221">
        <v>9379</v>
      </c>
    </row>
    <row r="5" spans="1:8">
      <c r="A5" s="220" t="s">
        <v>402</v>
      </c>
      <c r="B5" s="220">
        <v>55</v>
      </c>
      <c r="C5" s="221">
        <v>4858</v>
      </c>
      <c r="D5" s="221">
        <v>3518</v>
      </c>
      <c r="E5" s="221">
        <v>4355</v>
      </c>
      <c r="F5" s="221">
        <v>5069</v>
      </c>
      <c r="G5" s="221">
        <v>5855</v>
      </c>
      <c r="H5" s="221">
        <v>7948</v>
      </c>
    </row>
    <row r="6" spans="1:8">
      <c r="A6" s="220" t="s">
        <v>403</v>
      </c>
      <c r="B6" s="220">
        <v>32</v>
      </c>
      <c r="C6" s="221">
        <v>5392</v>
      </c>
      <c r="D6" s="221">
        <v>4380</v>
      </c>
      <c r="E6" s="221">
        <v>5341</v>
      </c>
      <c r="F6" s="221">
        <v>5828</v>
      </c>
      <c r="G6" s="221">
        <v>6516</v>
      </c>
      <c r="H6" s="221">
        <v>7220</v>
      </c>
    </row>
    <row r="7" spans="1:8">
      <c r="A7" s="220" t="s">
        <v>42</v>
      </c>
      <c r="B7" s="220"/>
      <c r="C7" s="221"/>
      <c r="D7" s="221"/>
      <c r="E7" s="221" t="s">
        <v>191</v>
      </c>
      <c r="F7" s="221"/>
      <c r="G7" s="221"/>
      <c r="H7" s="221"/>
    </row>
    <row r="8" spans="1:8">
      <c r="A8" s="220" t="s">
        <v>43</v>
      </c>
      <c r="B8" s="220"/>
      <c r="C8" s="221"/>
      <c r="D8" s="221"/>
      <c r="E8" s="221" t="s">
        <v>191</v>
      </c>
      <c r="F8" s="221"/>
      <c r="G8" s="221"/>
      <c r="H8" s="221"/>
    </row>
    <row r="9" spans="1:8">
      <c r="A9" s="220" t="s">
        <v>404</v>
      </c>
      <c r="B9" s="220">
        <v>50</v>
      </c>
      <c r="C9" s="222">
        <v>969</v>
      </c>
      <c r="D9" s="222">
        <v>775</v>
      </c>
      <c r="E9" s="222">
        <v>930</v>
      </c>
      <c r="F9" s="221">
        <v>1028</v>
      </c>
      <c r="G9" s="221">
        <v>1144</v>
      </c>
      <c r="H9" s="221">
        <v>1292</v>
      </c>
    </row>
    <row r="10" spans="1:8">
      <c r="A10" s="220" t="s">
        <v>405</v>
      </c>
      <c r="B10" s="220">
        <v>56</v>
      </c>
      <c r="C10" s="221">
        <v>5847</v>
      </c>
      <c r="D10" s="221">
        <v>4263</v>
      </c>
      <c r="E10" s="221">
        <v>5931</v>
      </c>
      <c r="F10" s="221">
        <v>6686</v>
      </c>
      <c r="G10" s="221">
        <v>7523</v>
      </c>
      <c r="H10" s="221">
        <v>9177</v>
      </c>
    </row>
    <row r="11" spans="1:8">
      <c r="A11" s="220" t="s">
        <v>44</v>
      </c>
      <c r="B11" s="220">
        <v>193</v>
      </c>
      <c r="C11" s="221">
        <v>10341</v>
      </c>
      <c r="D11" s="221">
        <v>7831</v>
      </c>
      <c r="E11" s="221">
        <v>10477</v>
      </c>
      <c r="F11" s="221">
        <v>11570</v>
      </c>
      <c r="G11" s="221">
        <v>12515</v>
      </c>
      <c r="H11" s="221">
        <v>15087</v>
      </c>
    </row>
    <row r="12" spans="1:8">
      <c r="A12" s="220" t="s">
        <v>406</v>
      </c>
      <c r="B12" s="220">
        <v>151</v>
      </c>
      <c r="C12" s="221">
        <v>7334</v>
      </c>
      <c r="D12" s="221">
        <v>5457</v>
      </c>
      <c r="E12" s="221">
        <v>7460</v>
      </c>
      <c r="F12" s="221">
        <v>8324</v>
      </c>
      <c r="G12" s="221">
        <v>9152</v>
      </c>
      <c r="H12" s="221">
        <v>10938</v>
      </c>
    </row>
    <row r="13" spans="1:8">
      <c r="A13" s="220" t="s">
        <v>45</v>
      </c>
      <c r="B13" s="220">
        <v>35</v>
      </c>
      <c r="C13" s="221">
        <v>8594</v>
      </c>
      <c r="D13" s="221">
        <v>5021</v>
      </c>
      <c r="E13" s="221">
        <v>9066</v>
      </c>
      <c r="F13" s="221">
        <v>10119</v>
      </c>
      <c r="G13" s="221">
        <v>11440</v>
      </c>
      <c r="H13" s="221">
        <v>13624</v>
      </c>
    </row>
    <row r="14" spans="1:8">
      <c r="A14" s="220" t="s">
        <v>407</v>
      </c>
      <c r="B14" s="220">
        <v>217</v>
      </c>
      <c r="C14" s="221">
        <v>9260</v>
      </c>
      <c r="D14" s="221">
        <v>6822</v>
      </c>
      <c r="E14" s="221">
        <v>8904</v>
      </c>
      <c r="F14" s="221">
        <v>9956</v>
      </c>
      <c r="G14" s="221">
        <v>11466</v>
      </c>
      <c r="H14" s="221">
        <v>14423</v>
      </c>
    </row>
    <row r="15" spans="1:8">
      <c r="A15" s="220" t="s">
        <v>47</v>
      </c>
      <c r="B15" s="220">
        <v>298</v>
      </c>
      <c r="C15" s="221">
        <v>8045</v>
      </c>
      <c r="D15" s="221">
        <v>6124</v>
      </c>
      <c r="E15" s="221">
        <v>7911</v>
      </c>
      <c r="F15" s="221">
        <v>8905</v>
      </c>
      <c r="G15" s="221">
        <v>9832</v>
      </c>
      <c r="H15" s="221">
        <v>11419</v>
      </c>
    </row>
    <row r="16" spans="1:8">
      <c r="A16" s="220" t="s">
        <v>408</v>
      </c>
      <c r="B16" s="220">
        <v>47</v>
      </c>
      <c r="C16" s="221">
        <v>2266</v>
      </c>
      <c r="D16" s="221">
        <v>1516</v>
      </c>
      <c r="E16" s="221">
        <v>2390</v>
      </c>
      <c r="F16" s="221">
        <v>2645</v>
      </c>
      <c r="G16" s="221">
        <v>2896</v>
      </c>
      <c r="H16" s="221">
        <v>3695</v>
      </c>
    </row>
    <row r="17" spans="1:8">
      <c r="A17" s="220" t="s">
        <v>409</v>
      </c>
      <c r="B17" s="220">
        <v>278</v>
      </c>
      <c r="C17" s="221">
        <v>6488</v>
      </c>
      <c r="D17" s="221">
        <v>4592</v>
      </c>
      <c r="E17" s="221">
        <v>6406</v>
      </c>
      <c r="F17" s="221">
        <v>7499</v>
      </c>
      <c r="G17" s="221">
        <v>8161</v>
      </c>
      <c r="H17" s="221">
        <v>10412</v>
      </c>
    </row>
    <row r="18" spans="1:8">
      <c r="A18" s="220" t="s">
        <v>49</v>
      </c>
      <c r="B18" s="220">
        <v>143</v>
      </c>
      <c r="C18" s="221">
        <v>8089</v>
      </c>
      <c r="D18" s="221">
        <v>5870</v>
      </c>
      <c r="E18" s="221">
        <v>7827</v>
      </c>
      <c r="F18" s="221">
        <v>9093</v>
      </c>
      <c r="G18" s="221">
        <v>9768</v>
      </c>
      <c r="H18" s="221">
        <v>12359</v>
      </c>
    </row>
    <row r="19" spans="1:8">
      <c r="A19" s="220" t="s">
        <v>410</v>
      </c>
      <c r="B19" s="220">
        <v>67</v>
      </c>
      <c r="C19" s="221">
        <v>9081</v>
      </c>
      <c r="D19" s="221">
        <v>6367</v>
      </c>
      <c r="E19" s="221">
        <v>8759</v>
      </c>
      <c r="F19" s="221">
        <v>9665</v>
      </c>
      <c r="G19" s="221">
        <v>11342</v>
      </c>
      <c r="H19" s="221">
        <v>14886</v>
      </c>
    </row>
    <row r="20" spans="1:8">
      <c r="A20" s="220" t="s">
        <v>411</v>
      </c>
      <c r="B20" s="220">
        <v>51</v>
      </c>
      <c r="C20" s="221">
        <v>14220</v>
      </c>
      <c r="D20" s="221">
        <v>7799</v>
      </c>
      <c r="E20" s="221">
        <v>11542</v>
      </c>
      <c r="F20" s="221">
        <v>17310</v>
      </c>
      <c r="G20" s="221">
        <v>18412</v>
      </c>
      <c r="H20" s="221">
        <v>26006</v>
      </c>
    </row>
    <row r="21" spans="1:8">
      <c r="A21" s="220" t="s">
        <v>53</v>
      </c>
      <c r="B21" s="220">
        <v>795</v>
      </c>
      <c r="C21" s="221">
        <v>7183</v>
      </c>
      <c r="D21" s="221">
        <v>5289</v>
      </c>
      <c r="E21" s="221">
        <v>7189</v>
      </c>
      <c r="F21" s="221">
        <v>8512</v>
      </c>
      <c r="G21" s="221">
        <v>9425</v>
      </c>
      <c r="H21" s="221">
        <v>11081</v>
      </c>
    </row>
    <row r="22" spans="1:8">
      <c r="A22" s="220" t="s">
        <v>412</v>
      </c>
      <c r="B22" s="220">
        <v>269</v>
      </c>
      <c r="C22" s="221">
        <v>5227</v>
      </c>
      <c r="D22" s="221">
        <v>3953</v>
      </c>
      <c r="E22" s="221">
        <v>5297</v>
      </c>
      <c r="F22" s="221">
        <v>5954</v>
      </c>
      <c r="G22" s="221">
        <v>6325</v>
      </c>
      <c r="H22" s="221">
        <v>7821</v>
      </c>
    </row>
    <row r="23" spans="1:8">
      <c r="A23" s="220" t="s">
        <v>55</v>
      </c>
      <c r="B23" s="220">
        <v>56</v>
      </c>
      <c r="C23" s="221">
        <v>6007</v>
      </c>
      <c r="D23" s="221">
        <v>5150</v>
      </c>
      <c r="E23" s="221">
        <v>5903</v>
      </c>
      <c r="F23" s="221">
        <v>6539</v>
      </c>
      <c r="G23" s="221">
        <v>7001</v>
      </c>
      <c r="H23" s="221">
        <v>8059</v>
      </c>
    </row>
    <row r="24" spans="1:8">
      <c r="A24" s="220" t="s">
        <v>56</v>
      </c>
      <c r="B24" s="220">
        <v>375</v>
      </c>
      <c r="C24" s="221">
        <v>5406</v>
      </c>
      <c r="D24" s="221">
        <v>4104</v>
      </c>
      <c r="E24" s="221">
        <v>5224</v>
      </c>
      <c r="F24" s="221">
        <v>5916</v>
      </c>
      <c r="G24" s="221">
        <v>6483</v>
      </c>
      <c r="H24" s="221">
        <v>7951</v>
      </c>
    </row>
    <row r="25" spans="1:8">
      <c r="A25" s="220" t="s">
        <v>58</v>
      </c>
      <c r="B25" s="220">
        <v>42</v>
      </c>
      <c r="C25" s="221">
        <v>5847</v>
      </c>
      <c r="D25" s="221">
        <v>4294</v>
      </c>
      <c r="E25" s="221">
        <v>5637</v>
      </c>
      <c r="F25" s="221">
        <v>6654</v>
      </c>
      <c r="G25" s="221">
        <v>7255</v>
      </c>
      <c r="H25" s="221">
        <v>8521</v>
      </c>
    </row>
    <row r="26" spans="1:8">
      <c r="A26" s="220" t="s">
        <v>59</v>
      </c>
      <c r="B26" s="220">
        <v>449</v>
      </c>
      <c r="C26" s="221">
        <v>7603</v>
      </c>
      <c r="D26" s="221">
        <v>5906</v>
      </c>
      <c r="E26" s="221">
        <v>7229</v>
      </c>
      <c r="F26" s="221">
        <v>8358</v>
      </c>
      <c r="G26" s="221">
        <v>9174</v>
      </c>
      <c r="H26" s="221">
        <v>10864</v>
      </c>
    </row>
    <row r="27" spans="1:8">
      <c r="A27" s="220" t="s">
        <v>413</v>
      </c>
      <c r="B27" s="220">
        <v>577</v>
      </c>
      <c r="C27" s="221">
        <v>4885</v>
      </c>
      <c r="D27" s="221">
        <v>3894</v>
      </c>
      <c r="E27" s="221">
        <v>4884</v>
      </c>
      <c r="F27" s="221">
        <v>5475</v>
      </c>
      <c r="G27" s="221">
        <v>6017</v>
      </c>
      <c r="H27" s="221">
        <v>7104</v>
      </c>
    </row>
    <row r="28" spans="1:8">
      <c r="A28" s="220" t="s">
        <v>63</v>
      </c>
      <c r="B28" s="220">
        <v>128</v>
      </c>
      <c r="C28" s="221">
        <v>3636</v>
      </c>
      <c r="D28" s="221">
        <v>2629</v>
      </c>
      <c r="E28" s="221">
        <v>3604</v>
      </c>
      <c r="F28" s="221">
        <v>4079</v>
      </c>
      <c r="G28" s="221">
        <v>4479</v>
      </c>
      <c r="H28" s="221">
        <v>5196</v>
      </c>
    </row>
    <row r="29" spans="1:8">
      <c r="A29" s="220" t="s">
        <v>414</v>
      </c>
      <c r="B29" s="220">
        <v>111</v>
      </c>
      <c r="C29" s="221">
        <v>6679</v>
      </c>
      <c r="D29" s="221">
        <v>4444</v>
      </c>
      <c r="E29" s="221">
        <v>6388</v>
      </c>
      <c r="F29" s="221">
        <v>7425</v>
      </c>
      <c r="G29" s="221">
        <v>8752</v>
      </c>
      <c r="H29" s="221">
        <v>10703</v>
      </c>
    </row>
    <row r="30" spans="1:8">
      <c r="A30" s="220" t="s">
        <v>415</v>
      </c>
      <c r="B30" s="220">
        <v>40</v>
      </c>
      <c r="C30" s="221">
        <v>4859</v>
      </c>
      <c r="D30" s="221">
        <v>3961</v>
      </c>
      <c r="E30" s="221">
        <v>5118</v>
      </c>
      <c r="F30" s="221">
        <v>5740</v>
      </c>
      <c r="G30" s="221">
        <v>6037</v>
      </c>
      <c r="H30" s="221">
        <v>6921</v>
      </c>
    </row>
    <row r="31" spans="1:8">
      <c r="A31" s="220" t="s">
        <v>416</v>
      </c>
      <c r="B31" s="220">
        <v>116</v>
      </c>
      <c r="C31" s="221">
        <v>5064</v>
      </c>
      <c r="D31" s="221">
        <v>3964</v>
      </c>
      <c r="E31" s="221">
        <v>5055</v>
      </c>
      <c r="F31" s="221">
        <v>5724</v>
      </c>
      <c r="G31" s="221">
        <v>6324</v>
      </c>
      <c r="H31" s="221">
        <v>7382</v>
      </c>
    </row>
    <row r="32" spans="1:8">
      <c r="A32" s="220" t="s">
        <v>417</v>
      </c>
      <c r="B32" s="220">
        <v>151</v>
      </c>
      <c r="C32" s="221">
        <v>5579</v>
      </c>
      <c r="D32" s="221">
        <v>4208</v>
      </c>
      <c r="E32" s="221">
        <v>5707</v>
      </c>
      <c r="F32" s="221">
        <v>6531</v>
      </c>
      <c r="G32" s="221">
        <v>7142</v>
      </c>
      <c r="H32" s="221">
        <v>8225</v>
      </c>
    </row>
    <row r="33" spans="1:8">
      <c r="A33" s="220" t="s">
        <v>418</v>
      </c>
      <c r="B33" s="220">
        <v>108</v>
      </c>
      <c r="C33" s="221">
        <v>5589</v>
      </c>
      <c r="D33" s="221">
        <v>4076</v>
      </c>
      <c r="E33" s="221">
        <v>5415</v>
      </c>
      <c r="F33" s="221">
        <v>6035</v>
      </c>
      <c r="G33" s="221">
        <v>6534</v>
      </c>
      <c r="H33" s="221">
        <v>9079</v>
      </c>
    </row>
    <row r="34" spans="1:8">
      <c r="A34" s="220" t="s">
        <v>419</v>
      </c>
      <c r="B34" s="220">
        <v>893</v>
      </c>
      <c r="C34" s="221">
        <v>4049</v>
      </c>
      <c r="D34" s="221">
        <v>3105</v>
      </c>
      <c r="E34" s="221">
        <v>3900</v>
      </c>
      <c r="F34" s="221">
        <v>4427</v>
      </c>
      <c r="G34" s="221">
        <v>4788</v>
      </c>
      <c r="H34" s="221">
        <v>5762</v>
      </c>
    </row>
    <row r="35" spans="1:8">
      <c r="A35" s="220" t="s">
        <v>68</v>
      </c>
      <c r="B35" s="220">
        <v>215</v>
      </c>
      <c r="C35" s="221">
        <v>4153</v>
      </c>
      <c r="D35" s="221">
        <v>2980</v>
      </c>
      <c r="E35" s="221">
        <v>4039</v>
      </c>
      <c r="F35" s="221">
        <v>4624</v>
      </c>
      <c r="G35" s="221">
        <v>5082</v>
      </c>
      <c r="H35" s="221">
        <v>6417</v>
      </c>
    </row>
    <row r="36" spans="1:8">
      <c r="A36" s="220" t="s">
        <v>420</v>
      </c>
      <c r="B36" s="220">
        <v>198</v>
      </c>
      <c r="C36" s="221">
        <v>7785</v>
      </c>
      <c r="D36" s="221">
        <v>5686</v>
      </c>
      <c r="E36" s="221">
        <v>7485</v>
      </c>
      <c r="F36" s="221">
        <v>8770</v>
      </c>
      <c r="G36" s="221">
        <v>9959</v>
      </c>
      <c r="H36" s="221">
        <v>12468</v>
      </c>
    </row>
    <row r="37" spans="1:8">
      <c r="A37" s="220" t="s">
        <v>421</v>
      </c>
      <c r="B37" s="220">
        <v>20</v>
      </c>
      <c r="C37" s="221">
        <v>7462</v>
      </c>
      <c r="D37" s="221">
        <v>6555</v>
      </c>
      <c r="E37" s="221">
        <v>7483</v>
      </c>
      <c r="F37" s="221">
        <v>8155</v>
      </c>
      <c r="G37" s="221">
        <v>8750</v>
      </c>
      <c r="H37" s="221">
        <v>9954</v>
      </c>
    </row>
    <row r="38" spans="1:8">
      <c r="A38" s="220" t="s">
        <v>422</v>
      </c>
      <c r="B38" s="220">
        <v>184</v>
      </c>
      <c r="C38" s="221">
        <v>5379</v>
      </c>
      <c r="D38" s="221">
        <v>3899</v>
      </c>
      <c r="E38" s="221">
        <v>5212</v>
      </c>
      <c r="F38" s="221">
        <v>6202</v>
      </c>
      <c r="G38" s="221">
        <v>6650</v>
      </c>
      <c r="H38" s="221">
        <v>7982</v>
      </c>
    </row>
    <row r="39" spans="1:8">
      <c r="A39" s="220" t="s">
        <v>423</v>
      </c>
      <c r="B39" s="220">
        <v>46</v>
      </c>
      <c r="C39" s="221">
        <v>5769</v>
      </c>
      <c r="D39" s="221">
        <v>4388</v>
      </c>
      <c r="E39" s="221">
        <v>5606</v>
      </c>
      <c r="F39" s="221">
        <v>6357</v>
      </c>
      <c r="G39" s="221">
        <v>6683</v>
      </c>
      <c r="H39" s="221">
        <v>8867</v>
      </c>
    </row>
    <row r="40" spans="1:8">
      <c r="A40" s="220" t="s">
        <v>424</v>
      </c>
      <c r="B40" s="220">
        <v>53</v>
      </c>
      <c r="C40" s="221">
        <v>5733</v>
      </c>
      <c r="D40" s="221">
        <v>4018</v>
      </c>
      <c r="E40" s="221">
        <v>5768</v>
      </c>
      <c r="F40" s="221">
        <v>6732</v>
      </c>
      <c r="G40" s="221">
        <v>7467</v>
      </c>
      <c r="H40" s="221">
        <v>8884</v>
      </c>
    </row>
    <row r="41" spans="1:8">
      <c r="A41" s="220" t="s">
        <v>425</v>
      </c>
      <c r="B41" s="220">
        <v>51</v>
      </c>
      <c r="C41" s="221">
        <v>15834</v>
      </c>
      <c r="D41" s="221">
        <v>12923</v>
      </c>
      <c r="E41" s="221">
        <v>14418</v>
      </c>
      <c r="F41" s="221">
        <v>15555</v>
      </c>
      <c r="G41" s="221">
        <v>18003</v>
      </c>
      <c r="H41" s="221">
        <v>25078</v>
      </c>
    </row>
    <row r="42" spans="1:8">
      <c r="A42" s="220" t="s">
        <v>71</v>
      </c>
      <c r="B42" s="220">
        <v>241</v>
      </c>
      <c r="C42" s="221">
        <v>8341</v>
      </c>
      <c r="D42" s="221">
        <v>6382</v>
      </c>
      <c r="E42" s="221">
        <v>7989</v>
      </c>
      <c r="F42" s="221">
        <v>9162</v>
      </c>
      <c r="G42" s="221">
        <v>10241</v>
      </c>
      <c r="H42" s="221">
        <v>12738</v>
      </c>
    </row>
    <row r="43" spans="1:8">
      <c r="A43" s="220" t="s">
        <v>426</v>
      </c>
      <c r="B43" s="220">
        <v>128</v>
      </c>
      <c r="C43" s="221">
        <v>5913</v>
      </c>
      <c r="D43" s="221">
        <v>4737</v>
      </c>
      <c r="E43" s="221">
        <v>5709</v>
      </c>
      <c r="F43" s="221">
        <v>6458</v>
      </c>
      <c r="G43" s="221">
        <v>6930</v>
      </c>
      <c r="H43" s="221">
        <v>8576</v>
      </c>
    </row>
    <row r="44" spans="1:8">
      <c r="A44" s="220" t="s">
        <v>427</v>
      </c>
      <c r="B44" s="220">
        <v>20</v>
      </c>
      <c r="C44" s="221">
        <v>4456</v>
      </c>
      <c r="D44" s="221">
        <v>2977</v>
      </c>
      <c r="E44" s="221">
        <v>4363</v>
      </c>
      <c r="F44" s="221">
        <v>5091</v>
      </c>
      <c r="G44" s="221">
        <v>5300</v>
      </c>
      <c r="H44" s="221">
        <v>6695</v>
      </c>
    </row>
    <row r="45" spans="1:8">
      <c r="A45" s="220" t="s">
        <v>428</v>
      </c>
      <c r="B45" s="220">
        <v>128</v>
      </c>
      <c r="C45" s="221">
        <v>6425</v>
      </c>
      <c r="D45" s="221">
        <v>4563</v>
      </c>
      <c r="E45" s="221">
        <v>5953</v>
      </c>
      <c r="F45" s="221">
        <v>7003</v>
      </c>
      <c r="G45" s="221">
        <v>8119</v>
      </c>
      <c r="H45" s="221">
        <v>9759</v>
      </c>
    </row>
    <row r="46" spans="1:8">
      <c r="A46" s="220" t="s">
        <v>429</v>
      </c>
      <c r="B46" s="220">
        <v>381</v>
      </c>
      <c r="C46" s="221">
        <v>4797</v>
      </c>
      <c r="D46" s="221">
        <v>3469</v>
      </c>
      <c r="E46" s="221">
        <v>4509</v>
      </c>
      <c r="F46" s="221">
        <v>5155</v>
      </c>
      <c r="G46" s="221">
        <v>5807</v>
      </c>
      <c r="H46" s="221">
        <v>7525</v>
      </c>
    </row>
    <row r="47" spans="1:8">
      <c r="A47" s="220" t="s">
        <v>430</v>
      </c>
      <c r="B47" s="220">
        <v>34</v>
      </c>
      <c r="C47" s="221">
        <v>4422</v>
      </c>
      <c r="D47" s="221">
        <v>3424</v>
      </c>
      <c r="E47" s="221">
        <v>4510</v>
      </c>
      <c r="F47" s="221">
        <v>4886</v>
      </c>
      <c r="G47" s="221">
        <v>5513</v>
      </c>
      <c r="H47" s="221">
        <v>6762</v>
      </c>
    </row>
    <row r="48" spans="1:8">
      <c r="A48" s="220" t="s">
        <v>74</v>
      </c>
      <c r="B48" s="220">
        <v>107</v>
      </c>
      <c r="C48" s="221">
        <v>4857</v>
      </c>
      <c r="D48" s="221">
        <v>3681</v>
      </c>
      <c r="E48" s="221">
        <v>4960</v>
      </c>
      <c r="F48" s="221">
        <v>5490</v>
      </c>
      <c r="G48" s="221">
        <v>5912</v>
      </c>
      <c r="H48" s="221">
        <v>6653</v>
      </c>
    </row>
    <row r="49" spans="1:8">
      <c r="A49" s="220" t="s">
        <v>431</v>
      </c>
      <c r="B49" s="220">
        <v>38</v>
      </c>
      <c r="C49" s="221">
        <v>4347</v>
      </c>
      <c r="D49" s="221">
        <v>3124</v>
      </c>
      <c r="E49" s="221">
        <v>4057</v>
      </c>
      <c r="F49" s="221">
        <v>5263</v>
      </c>
      <c r="G49" s="221">
        <v>5650</v>
      </c>
      <c r="H49" s="221">
        <v>7467</v>
      </c>
    </row>
    <row r="50" spans="1:8">
      <c r="A50" s="220" t="s">
        <v>432</v>
      </c>
      <c r="B50" s="220">
        <v>124</v>
      </c>
      <c r="C50" s="221">
        <v>2519</v>
      </c>
      <c r="D50" s="221">
        <v>1635</v>
      </c>
      <c r="E50" s="221">
        <v>2485</v>
      </c>
      <c r="F50" s="221">
        <v>2914</v>
      </c>
      <c r="G50" s="221">
        <v>3272</v>
      </c>
      <c r="H50" s="221">
        <v>4002</v>
      </c>
    </row>
    <row r="51" spans="1:8">
      <c r="A51" s="220" t="s">
        <v>433</v>
      </c>
      <c r="B51" s="220">
        <v>60</v>
      </c>
      <c r="C51" s="221">
        <v>6031</v>
      </c>
      <c r="D51" s="221">
        <v>3947</v>
      </c>
      <c r="E51" s="221">
        <v>5346</v>
      </c>
      <c r="F51" s="221">
        <v>6567</v>
      </c>
      <c r="G51" s="221">
        <v>7487</v>
      </c>
      <c r="H51" s="221">
        <v>9876</v>
      </c>
    </row>
    <row r="52" spans="1:8">
      <c r="A52" s="220" t="s">
        <v>434</v>
      </c>
      <c r="B52" s="220">
        <v>444</v>
      </c>
      <c r="C52" s="221">
        <v>7221</v>
      </c>
      <c r="D52" s="221">
        <v>5668</v>
      </c>
      <c r="E52" s="221">
        <v>7131</v>
      </c>
      <c r="F52" s="221">
        <v>8010</v>
      </c>
      <c r="G52" s="221">
        <v>8845</v>
      </c>
      <c r="H52" s="221">
        <v>10706</v>
      </c>
    </row>
    <row r="53" spans="1:8">
      <c r="A53" s="220" t="s">
        <v>435</v>
      </c>
      <c r="B53" s="220">
        <v>68</v>
      </c>
      <c r="C53" s="221">
        <v>9529</v>
      </c>
      <c r="D53" s="221">
        <v>7129</v>
      </c>
      <c r="E53" s="221">
        <v>9489</v>
      </c>
      <c r="F53" s="221">
        <v>10386</v>
      </c>
      <c r="G53" s="221">
        <v>11577</v>
      </c>
      <c r="H53" s="221">
        <v>14741</v>
      </c>
    </row>
    <row r="54" spans="1:8">
      <c r="A54" s="220" t="s">
        <v>436</v>
      </c>
      <c r="B54" s="220">
        <v>73</v>
      </c>
      <c r="C54" s="221">
        <v>8437</v>
      </c>
      <c r="D54" s="221">
        <v>5343</v>
      </c>
      <c r="E54" s="221">
        <v>7802</v>
      </c>
      <c r="F54" s="221">
        <v>9437</v>
      </c>
      <c r="G54" s="221">
        <v>10588</v>
      </c>
      <c r="H54" s="221">
        <v>13864</v>
      </c>
    </row>
    <row r="55" spans="1:8">
      <c r="A55" s="220" t="s">
        <v>84</v>
      </c>
      <c r="B55" s="220">
        <v>78</v>
      </c>
      <c r="C55" s="221">
        <v>9658</v>
      </c>
      <c r="D55" s="221">
        <v>7412</v>
      </c>
      <c r="E55" s="221">
        <v>9242</v>
      </c>
      <c r="F55" s="221">
        <v>11075</v>
      </c>
      <c r="G55" s="221">
        <v>12769</v>
      </c>
      <c r="H55" s="221">
        <v>16462</v>
      </c>
    </row>
    <row r="56" spans="1:8">
      <c r="A56" s="220" t="s">
        <v>437</v>
      </c>
      <c r="B56" s="220">
        <v>30</v>
      </c>
      <c r="C56" s="221">
        <v>6829</v>
      </c>
      <c r="D56" s="221">
        <v>4846</v>
      </c>
      <c r="E56" s="221">
        <v>7441</v>
      </c>
      <c r="F56" s="221">
        <v>7950</v>
      </c>
      <c r="G56" s="221">
        <v>9152</v>
      </c>
      <c r="H56" s="221">
        <v>10465</v>
      </c>
    </row>
    <row r="57" spans="1:8">
      <c r="A57" s="220" t="s">
        <v>438</v>
      </c>
      <c r="B57" s="220">
        <v>48</v>
      </c>
      <c r="C57" s="221">
        <v>8583</v>
      </c>
      <c r="D57" s="221">
        <v>6699</v>
      </c>
      <c r="E57" s="221">
        <v>7883</v>
      </c>
      <c r="F57" s="221">
        <v>9275</v>
      </c>
      <c r="G57" s="221">
        <v>10460</v>
      </c>
      <c r="H57" s="221">
        <v>12558</v>
      </c>
    </row>
    <row r="58" spans="1:8">
      <c r="A58" s="220" t="s">
        <v>439</v>
      </c>
      <c r="B58" s="220">
        <v>104</v>
      </c>
      <c r="C58" s="221">
        <v>4352</v>
      </c>
      <c r="D58" s="221">
        <v>3267</v>
      </c>
      <c r="E58" s="221">
        <v>4038</v>
      </c>
      <c r="F58" s="221">
        <v>4890</v>
      </c>
      <c r="G58" s="221">
        <v>5188</v>
      </c>
      <c r="H58" s="221">
        <v>6488</v>
      </c>
    </row>
    <row r="59" spans="1:8">
      <c r="A59" s="220" t="s">
        <v>440</v>
      </c>
      <c r="B59" s="220">
        <v>62</v>
      </c>
      <c r="C59" s="221">
        <v>7098</v>
      </c>
      <c r="D59" s="221">
        <v>5374</v>
      </c>
      <c r="E59" s="221">
        <v>7201</v>
      </c>
      <c r="F59" s="221">
        <v>7904</v>
      </c>
      <c r="G59" s="221">
        <v>8268</v>
      </c>
      <c r="H59" s="221">
        <v>11179</v>
      </c>
    </row>
    <row r="60" spans="1:8">
      <c r="A60" s="220" t="s">
        <v>441</v>
      </c>
      <c r="B60" s="220">
        <v>89</v>
      </c>
      <c r="C60" s="221">
        <v>10877</v>
      </c>
      <c r="D60" s="221">
        <v>7861</v>
      </c>
      <c r="E60" s="221">
        <v>10695</v>
      </c>
      <c r="F60" s="221">
        <v>13561</v>
      </c>
      <c r="G60" s="221">
        <v>15003</v>
      </c>
      <c r="H60" s="221">
        <v>17770</v>
      </c>
    </row>
    <row r="61" spans="1:8">
      <c r="A61" s="220" t="s">
        <v>442</v>
      </c>
      <c r="B61" s="220">
        <v>51</v>
      </c>
      <c r="C61" s="221">
        <v>8859</v>
      </c>
      <c r="D61" s="221">
        <v>6396</v>
      </c>
      <c r="E61" s="221">
        <v>8865</v>
      </c>
      <c r="F61" s="221">
        <v>10013</v>
      </c>
      <c r="G61" s="221">
        <v>11184</v>
      </c>
      <c r="H61" s="221">
        <v>13044</v>
      </c>
    </row>
    <row r="62" spans="1:8">
      <c r="A62" s="220" t="s">
        <v>90</v>
      </c>
      <c r="B62" s="220">
        <v>69</v>
      </c>
      <c r="C62" s="221">
        <v>8699</v>
      </c>
      <c r="D62" s="221">
        <v>6036</v>
      </c>
      <c r="E62" s="221">
        <v>8264</v>
      </c>
      <c r="F62" s="221">
        <v>9144</v>
      </c>
      <c r="G62" s="221">
        <v>10570</v>
      </c>
      <c r="H62" s="221">
        <v>14071</v>
      </c>
    </row>
    <row r="63" spans="1:8">
      <c r="A63" s="220" t="s">
        <v>91</v>
      </c>
      <c r="B63" s="220">
        <v>94</v>
      </c>
      <c r="C63" s="221">
        <v>9965</v>
      </c>
      <c r="D63" s="221">
        <v>6869</v>
      </c>
      <c r="E63" s="221">
        <v>9650</v>
      </c>
      <c r="F63" s="221">
        <v>11338</v>
      </c>
      <c r="G63" s="221">
        <v>13035</v>
      </c>
      <c r="H63" s="221">
        <v>15303</v>
      </c>
    </row>
    <row r="64" spans="1:8">
      <c r="A64" s="220" t="s">
        <v>443</v>
      </c>
      <c r="B64" s="220">
        <v>125</v>
      </c>
      <c r="C64" s="221">
        <v>10576</v>
      </c>
      <c r="D64" s="221">
        <v>7681</v>
      </c>
      <c r="E64" s="221">
        <v>9432</v>
      </c>
      <c r="F64" s="221">
        <v>11484</v>
      </c>
      <c r="G64" s="221">
        <v>13227</v>
      </c>
      <c r="H64" s="221">
        <v>16879</v>
      </c>
    </row>
    <row r="65" spans="1:8">
      <c r="A65" s="220" t="s">
        <v>93</v>
      </c>
      <c r="B65" s="220">
        <v>44</v>
      </c>
      <c r="C65" s="221">
        <v>6993</v>
      </c>
      <c r="D65" s="221">
        <v>5056</v>
      </c>
      <c r="E65" s="221">
        <v>6558</v>
      </c>
      <c r="F65" s="221">
        <v>7358</v>
      </c>
      <c r="G65" s="221">
        <v>8322</v>
      </c>
      <c r="H65" s="221">
        <v>11177</v>
      </c>
    </row>
    <row r="66" spans="1:8">
      <c r="A66" s="220" t="s">
        <v>444</v>
      </c>
      <c r="B66" s="220">
        <v>79</v>
      </c>
      <c r="C66" s="221">
        <v>7621</v>
      </c>
      <c r="D66" s="221">
        <v>5571</v>
      </c>
      <c r="E66" s="221">
        <v>7235</v>
      </c>
      <c r="F66" s="221">
        <v>8429</v>
      </c>
      <c r="G66" s="221">
        <v>9824</v>
      </c>
      <c r="H66" s="221">
        <v>12363</v>
      </c>
    </row>
    <row r="67" spans="1:8">
      <c r="A67" s="220" t="s">
        <v>445</v>
      </c>
      <c r="B67" s="220">
        <v>34</v>
      </c>
      <c r="C67" s="221">
        <v>11394</v>
      </c>
      <c r="D67" s="221">
        <v>8314</v>
      </c>
      <c r="E67" s="221">
        <v>12180</v>
      </c>
      <c r="F67" s="221">
        <v>13792</v>
      </c>
      <c r="G67" s="221">
        <v>15069</v>
      </c>
      <c r="H67" s="221">
        <v>18621</v>
      </c>
    </row>
    <row r="68" spans="1:8">
      <c r="A68" s="220" t="s">
        <v>95</v>
      </c>
      <c r="B68" s="220">
        <v>102</v>
      </c>
      <c r="C68" s="221">
        <v>14271</v>
      </c>
      <c r="D68" s="221">
        <v>9608</v>
      </c>
      <c r="E68" s="221">
        <v>13461</v>
      </c>
      <c r="F68" s="221">
        <v>16042</v>
      </c>
      <c r="G68" s="221">
        <v>19319</v>
      </c>
      <c r="H68" s="221">
        <v>22110</v>
      </c>
    </row>
    <row r="69" spans="1:8">
      <c r="A69" s="220" t="s">
        <v>96</v>
      </c>
      <c r="B69" s="220">
        <v>143</v>
      </c>
      <c r="C69" s="221">
        <v>9675</v>
      </c>
      <c r="D69" s="221">
        <v>7109</v>
      </c>
      <c r="E69" s="221">
        <v>9357</v>
      </c>
      <c r="F69" s="221">
        <v>10332</v>
      </c>
      <c r="G69" s="221">
        <v>11457</v>
      </c>
      <c r="H69" s="221">
        <v>14859</v>
      </c>
    </row>
    <row r="70" spans="1:8">
      <c r="A70" s="220" t="s">
        <v>97</v>
      </c>
      <c r="B70" s="220">
        <v>90</v>
      </c>
      <c r="C70" s="221">
        <v>10107</v>
      </c>
      <c r="D70" s="221">
        <v>7837</v>
      </c>
      <c r="E70" s="221">
        <v>9932</v>
      </c>
      <c r="F70" s="221">
        <v>11355</v>
      </c>
      <c r="G70" s="221">
        <v>11834</v>
      </c>
      <c r="H70" s="221">
        <v>14918</v>
      </c>
    </row>
    <row r="71" spans="1:8">
      <c r="A71" s="220" t="s">
        <v>446</v>
      </c>
      <c r="B71" s="220">
        <v>22</v>
      </c>
      <c r="C71" s="221">
        <v>2461</v>
      </c>
      <c r="D71" s="221">
        <v>1952</v>
      </c>
      <c r="E71" s="221">
        <v>2690</v>
      </c>
      <c r="F71" s="221">
        <v>2996</v>
      </c>
      <c r="G71" s="221">
        <v>3362</v>
      </c>
      <c r="H71" s="221">
        <v>3764</v>
      </c>
    </row>
    <row r="72" spans="1:8">
      <c r="A72" s="220" t="s">
        <v>98</v>
      </c>
      <c r="B72" s="220">
        <v>353</v>
      </c>
      <c r="C72" s="221">
        <v>8427</v>
      </c>
      <c r="D72" s="221">
        <v>6021</v>
      </c>
      <c r="E72" s="221">
        <v>7853</v>
      </c>
      <c r="F72" s="221">
        <v>9324</v>
      </c>
      <c r="G72" s="221">
        <v>10430</v>
      </c>
      <c r="H72" s="221">
        <v>13014</v>
      </c>
    </row>
    <row r="73" spans="1:8">
      <c r="A73" s="220" t="s">
        <v>447</v>
      </c>
      <c r="B73" s="220">
        <v>75</v>
      </c>
      <c r="C73" s="221">
        <v>10601</v>
      </c>
      <c r="D73" s="221">
        <v>8306</v>
      </c>
      <c r="E73" s="221">
        <v>10198</v>
      </c>
      <c r="F73" s="221">
        <v>11886</v>
      </c>
      <c r="G73" s="221">
        <v>12559</v>
      </c>
      <c r="H73" s="221">
        <v>15638</v>
      </c>
    </row>
    <row r="74" spans="1:8">
      <c r="A74" s="220" t="s">
        <v>448</v>
      </c>
      <c r="B74" s="220">
        <v>98</v>
      </c>
      <c r="C74" s="221">
        <v>5288</v>
      </c>
      <c r="D74" s="221">
        <v>3460</v>
      </c>
      <c r="E74" s="221">
        <v>4778</v>
      </c>
      <c r="F74" s="221">
        <v>5627</v>
      </c>
      <c r="G74" s="221">
        <v>6501</v>
      </c>
      <c r="H74" s="221">
        <v>8934</v>
      </c>
    </row>
    <row r="75" spans="1:8">
      <c r="A75" s="220" t="s">
        <v>449</v>
      </c>
      <c r="B75" s="220">
        <v>107</v>
      </c>
      <c r="C75" s="221">
        <v>3162</v>
      </c>
      <c r="D75" s="221">
        <v>2369</v>
      </c>
      <c r="E75" s="221">
        <v>3072</v>
      </c>
      <c r="F75" s="221">
        <v>3561</v>
      </c>
      <c r="G75" s="221">
        <v>3979</v>
      </c>
      <c r="H75" s="221">
        <v>4560</v>
      </c>
    </row>
    <row r="76" spans="1:8">
      <c r="A76" s="220" t="s">
        <v>99</v>
      </c>
      <c r="B76" s="220">
        <v>314</v>
      </c>
      <c r="C76" s="221">
        <v>6177</v>
      </c>
      <c r="D76" s="221">
        <v>4435</v>
      </c>
      <c r="E76" s="221">
        <v>6065</v>
      </c>
      <c r="F76" s="221">
        <v>7050</v>
      </c>
      <c r="G76" s="221">
        <v>7856</v>
      </c>
      <c r="H76" s="221">
        <v>9865</v>
      </c>
    </row>
    <row r="77" spans="1:8">
      <c r="A77" s="220" t="s">
        <v>105</v>
      </c>
      <c r="B77" s="220">
        <v>114</v>
      </c>
      <c r="C77" s="221">
        <v>5427</v>
      </c>
      <c r="D77" s="221">
        <v>3027</v>
      </c>
      <c r="E77" s="221">
        <v>5118</v>
      </c>
      <c r="F77" s="221">
        <v>6537</v>
      </c>
      <c r="G77" s="221">
        <v>7351</v>
      </c>
      <c r="H77" s="221">
        <v>9243</v>
      </c>
    </row>
    <row r="78" spans="1:8">
      <c r="A78" s="220" t="s">
        <v>450</v>
      </c>
      <c r="B78" s="220">
        <v>49</v>
      </c>
      <c r="C78" s="221">
        <v>6513</v>
      </c>
      <c r="D78" s="221">
        <v>4348</v>
      </c>
      <c r="E78" s="221">
        <v>5956</v>
      </c>
      <c r="F78" s="221">
        <v>7016</v>
      </c>
      <c r="G78" s="221">
        <v>8020</v>
      </c>
      <c r="H78" s="221">
        <v>11037</v>
      </c>
    </row>
    <row r="79" spans="1:8">
      <c r="A79" s="220" t="s">
        <v>451</v>
      </c>
      <c r="B79" s="220">
        <v>55</v>
      </c>
      <c r="C79" s="221">
        <v>6505</v>
      </c>
      <c r="D79" s="221">
        <v>4813</v>
      </c>
      <c r="E79" s="221">
        <v>6360</v>
      </c>
      <c r="F79" s="221">
        <v>7586</v>
      </c>
      <c r="G79" s="221">
        <v>8436</v>
      </c>
      <c r="H79" s="221">
        <v>9878</v>
      </c>
    </row>
    <row r="80" spans="1:8">
      <c r="A80" s="220" t="s">
        <v>107</v>
      </c>
      <c r="B80" s="220">
        <v>128</v>
      </c>
      <c r="C80" s="221">
        <v>6818</v>
      </c>
      <c r="D80" s="221">
        <v>5034</v>
      </c>
      <c r="E80" s="221">
        <v>6874</v>
      </c>
      <c r="F80" s="221">
        <v>7844</v>
      </c>
      <c r="G80" s="221">
        <v>8806</v>
      </c>
      <c r="H80" s="221">
        <v>10723</v>
      </c>
    </row>
    <row r="81" spans="1:8">
      <c r="A81" s="220" t="s">
        <v>452</v>
      </c>
      <c r="B81" s="220">
        <v>35</v>
      </c>
      <c r="C81" s="221">
        <v>3985</v>
      </c>
      <c r="D81" s="221">
        <v>2693</v>
      </c>
      <c r="E81" s="221">
        <v>3795</v>
      </c>
      <c r="F81" s="221">
        <v>4231</v>
      </c>
      <c r="G81" s="221">
        <v>4585</v>
      </c>
      <c r="H81" s="221">
        <v>6171</v>
      </c>
    </row>
    <row r="82" spans="1:8">
      <c r="A82" s="220" t="s">
        <v>108</v>
      </c>
      <c r="B82" s="220">
        <v>36</v>
      </c>
      <c r="C82" s="221">
        <v>3501</v>
      </c>
      <c r="D82" s="221">
        <v>2739</v>
      </c>
      <c r="E82" s="221">
        <v>3578</v>
      </c>
      <c r="F82" s="221">
        <v>3893</v>
      </c>
      <c r="G82" s="221">
        <v>4113</v>
      </c>
      <c r="H82" s="221">
        <v>4753</v>
      </c>
    </row>
    <row r="83" spans="1:8">
      <c r="A83" s="220" t="s">
        <v>453</v>
      </c>
      <c r="B83" s="220">
        <v>45</v>
      </c>
      <c r="C83" s="221">
        <v>3404</v>
      </c>
      <c r="D83" s="221">
        <v>2667</v>
      </c>
      <c r="E83" s="221">
        <v>3075</v>
      </c>
      <c r="F83" s="221">
        <v>3619</v>
      </c>
      <c r="G83" s="221">
        <v>3960</v>
      </c>
      <c r="H83" s="221">
        <v>5292</v>
      </c>
    </row>
    <row r="84" spans="1:8">
      <c r="A84" s="220" t="s">
        <v>110</v>
      </c>
      <c r="B84" s="220"/>
      <c r="C84" s="221"/>
      <c r="D84" s="221"/>
      <c r="E84" s="221" t="s">
        <v>191</v>
      </c>
      <c r="F84" s="221"/>
      <c r="G84" s="221"/>
      <c r="H84" s="221"/>
    </row>
    <row r="85" spans="1:8">
      <c r="A85" s="220" t="s">
        <v>111</v>
      </c>
      <c r="B85" s="220">
        <v>20</v>
      </c>
      <c r="C85" s="221">
        <v>3000</v>
      </c>
      <c r="D85" s="221">
        <v>2237</v>
      </c>
      <c r="E85" s="221">
        <v>2820</v>
      </c>
      <c r="F85" s="221">
        <v>3610</v>
      </c>
      <c r="G85" s="221">
        <v>4106</v>
      </c>
      <c r="H85" s="221">
        <v>5494</v>
      </c>
    </row>
    <row r="86" spans="1:8">
      <c r="A86" s="220" t="s">
        <v>112</v>
      </c>
      <c r="B86" s="220">
        <v>170</v>
      </c>
      <c r="C86" s="221">
        <v>4746</v>
      </c>
      <c r="D86" s="221">
        <v>3422</v>
      </c>
      <c r="E86" s="221">
        <v>4736</v>
      </c>
      <c r="F86" s="221">
        <v>5514</v>
      </c>
      <c r="G86" s="221">
        <v>6140</v>
      </c>
      <c r="H86" s="221">
        <v>7241</v>
      </c>
    </row>
    <row r="87" spans="1:8">
      <c r="A87" s="220" t="s">
        <v>454</v>
      </c>
      <c r="B87" s="220">
        <v>23</v>
      </c>
      <c r="C87" s="221">
        <v>5704</v>
      </c>
      <c r="D87" s="221">
        <v>4960</v>
      </c>
      <c r="E87" s="221">
        <v>5999</v>
      </c>
      <c r="F87" s="221">
        <v>6336</v>
      </c>
      <c r="G87" s="221">
        <v>7486</v>
      </c>
      <c r="H87" s="221">
        <v>8242</v>
      </c>
    </row>
    <row r="88" spans="1:8">
      <c r="A88" s="220" t="s">
        <v>455</v>
      </c>
      <c r="B88" s="220">
        <v>42</v>
      </c>
      <c r="C88" s="221">
        <v>5783</v>
      </c>
      <c r="D88" s="221">
        <v>3636</v>
      </c>
      <c r="E88" s="221">
        <v>5127</v>
      </c>
      <c r="F88" s="221">
        <v>6330</v>
      </c>
      <c r="G88" s="221">
        <v>7488</v>
      </c>
      <c r="H88" s="221">
        <v>9977</v>
      </c>
    </row>
    <row r="89" spans="1:8">
      <c r="A89" s="220" t="s">
        <v>456</v>
      </c>
      <c r="B89" s="220">
        <v>51</v>
      </c>
      <c r="C89" s="221">
        <v>5169</v>
      </c>
      <c r="D89" s="221">
        <v>4315</v>
      </c>
      <c r="E89" s="221">
        <v>5125</v>
      </c>
      <c r="F89" s="221">
        <v>5608</v>
      </c>
      <c r="G89" s="221">
        <v>5982</v>
      </c>
      <c r="H89" s="221">
        <v>6806</v>
      </c>
    </row>
    <row r="90" spans="1:8">
      <c r="A90" s="220" t="s">
        <v>457</v>
      </c>
      <c r="B90" s="220">
        <v>229</v>
      </c>
      <c r="C90" s="221">
        <v>5295</v>
      </c>
      <c r="D90" s="221">
        <v>3627</v>
      </c>
      <c r="E90" s="221">
        <v>4942</v>
      </c>
      <c r="F90" s="221">
        <v>6059</v>
      </c>
      <c r="G90" s="221">
        <v>7021</v>
      </c>
      <c r="H90" s="221">
        <v>7907</v>
      </c>
    </row>
    <row r="91" spans="1:8">
      <c r="A91" s="220" t="s">
        <v>116</v>
      </c>
      <c r="B91" s="220">
        <v>32</v>
      </c>
      <c r="C91" s="221">
        <v>6958</v>
      </c>
      <c r="D91" s="221">
        <v>5351</v>
      </c>
      <c r="E91" s="221">
        <v>6527</v>
      </c>
      <c r="F91" s="221">
        <v>7852</v>
      </c>
      <c r="G91" s="221">
        <v>8718</v>
      </c>
      <c r="H91" s="221">
        <v>10723</v>
      </c>
    </row>
    <row r="92" spans="1:8">
      <c r="A92" s="220" t="s">
        <v>458</v>
      </c>
      <c r="B92" s="220">
        <v>55</v>
      </c>
      <c r="C92" s="221">
        <v>3430</v>
      </c>
      <c r="D92" s="221">
        <v>2156</v>
      </c>
      <c r="E92" s="221">
        <v>2982</v>
      </c>
      <c r="F92" s="221">
        <v>3209</v>
      </c>
      <c r="G92" s="221">
        <v>3615</v>
      </c>
      <c r="H92" s="221">
        <v>5664</v>
      </c>
    </row>
    <row r="93" spans="1:8">
      <c r="A93" s="220" t="s">
        <v>117</v>
      </c>
      <c r="B93" s="220">
        <v>165</v>
      </c>
      <c r="C93" s="221">
        <v>5032</v>
      </c>
      <c r="D93" s="221">
        <v>3616</v>
      </c>
      <c r="E93" s="221">
        <v>4996</v>
      </c>
      <c r="F93" s="221">
        <v>5828</v>
      </c>
      <c r="G93" s="221">
        <v>6479</v>
      </c>
      <c r="H93" s="221">
        <v>7367</v>
      </c>
    </row>
    <row r="94" spans="1:8">
      <c r="A94" s="220" t="s">
        <v>118</v>
      </c>
      <c r="B94" s="220">
        <v>102</v>
      </c>
      <c r="C94" s="221">
        <v>3718</v>
      </c>
      <c r="D94" s="221">
        <v>2773</v>
      </c>
      <c r="E94" s="221">
        <v>3431</v>
      </c>
      <c r="F94" s="221">
        <v>4176</v>
      </c>
      <c r="G94" s="221">
        <v>4519</v>
      </c>
      <c r="H94" s="221">
        <v>5266</v>
      </c>
    </row>
    <row r="95" spans="1:8">
      <c r="A95" s="220" t="s">
        <v>119</v>
      </c>
      <c r="B95" s="220">
        <v>159</v>
      </c>
      <c r="C95" s="221">
        <v>4062</v>
      </c>
      <c r="D95" s="221">
        <v>3253</v>
      </c>
      <c r="E95" s="221">
        <v>4046</v>
      </c>
      <c r="F95" s="221">
        <v>4547</v>
      </c>
      <c r="G95" s="221">
        <v>5013</v>
      </c>
      <c r="H95" s="221">
        <v>5839</v>
      </c>
    </row>
    <row r="96" spans="1:8">
      <c r="A96" s="220" t="s">
        <v>120</v>
      </c>
      <c r="B96" s="220">
        <v>297</v>
      </c>
      <c r="C96" s="221">
        <v>4001</v>
      </c>
      <c r="D96" s="221">
        <v>2901</v>
      </c>
      <c r="E96" s="221">
        <v>3868</v>
      </c>
      <c r="F96" s="221">
        <v>4419</v>
      </c>
      <c r="G96" s="221">
        <v>4858</v>
      </c>
      <c r="H96" s="221">
        <v>6211</v>
      </c>
    </row>
    <row r="97" spans="1:8">
      <c r="A97" s="220" t="s">
        <v>459</v>
      </c>
      <c r="B97" s="220">
        <v>113</v>
      </c>
      <c r="C97" s="221">
        <v>3314</v>
      </c>
      <c r="D97" s="221">
        <v>2428</v>
      </c>
      <c r="E97" s="221">
        <v>3159</v>
      </c>
      <c r="F97" s="221">
        <v>3909</v>
      </c>
      <c r="G97" s="221">
        <v>4148</v>
      </c>
      <c r="H97" s="221">
        <v>4968</v>
      </c>
    </row>
    <row r="98" spans="1:8">
      <c r="A98" s="220" t="s">
        <v>460</v>
      </c>
      <c r="B98" s="220">
        <v>168</v>
      </c>
      <c r="C98" s="221">
        <v>2374</v>
      </c>
      <c r="D98" s="221">
        <v>1690</v>
      </c>
      <c r="E98" s="221">
        <v>2284</v>
      </c>
      <c r="F98" s="221">
        <v>2539</v>
      </c>
      <c r="G98" s="221">
        <v>2828</v>
      </c>
      <c r="H98" s="221">
        <v>3868</v>
      </c>
    </row>
    <row r="99" spans="1:8">
      <c r="A99" s="220" t="s">
        <v>125</v>
      </c>
      <c r="B99" s="220">
        <v>34</v>
      </c>
      <c r="C99" s="221">
        <v>2332</v>
      </c>
      <c r="D99" s="221">
        <v>1756</v>
      </c>
      <c r="E99" s="221">
        <v>2375</v>
      </c>
      <c r="F99" s="221">
        <v>2628</v>
      </c>
      <c r="G99" s="221">
        <v>2983</v>
      </c>
      <c r="H99" s="221">
        <v>3424</v>
      </c>
    </row>
    <row r="100" spans="1:8">
      <c r="A100" s="220" t="s">
        <v>127</v>
      </c>
      <c r="B100" s="220">
        <v>289</v>
      </c>
      <c r="C100" s="221">
        <v>10547</v>
      </c>
      <c r="D100" s="221">
        <v>7836</v>
      </c>
      <c r="E100" s="221">
        <v>11035</v>
      </c>
      <c r="F100" s="221">
        <v>12598</v>
      </c>
      <c r="G100" s="221">
        <v>14073</v>
      </c>
      <c r="H100" s="221">
        <v>16192</v>
      </c>
    </row>
    <row r="101" spans="1:8">
      <c r="A101" s="220" t="s">
        <v>128</v>
      </c>
      <c r="B101" s="220">
        <v>71</v>
      </c>
      <c r="C101" s="221">
        <v>3878</v>
      </c>
      <c r="D101" s="221">
        <v>2832</v>
      </c>
      <c r="E101" s="221">
        <v>3724</v>
      </c>
      <c r="F101" s="221">
        <v>4362</v>
      </c>
      <c r="G101" s="221">
        <v>4783</v>
      </c>
      <c r="H101" s="221">
        <v>5958</v>
      </c>
    </row>
    <row r="102" spans="1:8">
      <c r="A102" s="220" t="s">
        <v>130</v>
      </c>
      <c r="B102" s="220">
        <v>133</v>
      </c>
      <c r="C102" s="221">
        <v>4194</v>
      </c>
      <c r="D102" s="221">
        <v>3020</v>
      </c>
      <c r="E102" s="221">
        <v>3933</v>
      </c>
      <c r="F102" s="221">
        <v>4416</v>
      </c>
      <c r="G102" s="221">
        <v>4918</v>
      </c>
      <c r="H102" s="221">
        <v>6910</v>
      </c>
    </row>
    <row r="103" spans="1:8">
      <c r="A103" s="220" t="s">
        <v>133</v>
      </c>
      <c r="B103" s="220">
        <v>93</v>
      </c>
      <c r="C103" s="221">
        <v>6271</v>
      </c>
      <c r="D103" s="221">
        <v>4793</v>
      </c>
      <c r="E103" s="221">
        <v>6048</v>
      </c>
      <c r="F103" s="221">
        <v>6562</v>
      </c>
      <c r="G103" s="221">
        <v>7386</v>
      </c>
      <c r="H103" s="221">
        <v>9103</v>
      </c>
    </row>
    <row r="104" spans="1:8">
      <c r="A104" s="220" t="s">
        <v>461</v>
      </c>
      <c r="B104" s="220">
        <v>94</v>
      </c>
      <c r="C104" s="221">
        <v>3840</v>
      </c>
      <c r="D104" s="221">
        <v>2428</v>
      </c>
      <c r="E104" s="221">
        <v>3463</v>
      </c>
      <c r="F104" s="221">
        <v>4100</v>
      </c>
      <c r="G104" s="221">
        <v>4769</v>
      </c>
      <c r="H104" s="221">
        <v>6679</v>
      </c>
    </row>
    <row r="105" spans="1:8">
      <c r="A105" s="220" t="s">
        <v>462</v>
      </c>
      <c r="B105" s="220">
        <v>110</v>
      </c>
      <c r="C105" s="221">
        <v>2511</v>
      </c>
      <c r="D105" s="221">
        <v>1551</v>
      </c>
      <c r="E105" s="221">
        <v>2290</v>
      </c>
      <c r="F105" s="221">
        <v>2765</v>
      </c>
      <c r="G105" s="221">
        <v>2983</v>
      </c>
      <c r="H105" s="221">
        <v>3977</v>
      </c>
    </row>
    <row r="106" spans="1:8">
      <c r="A106" s="220" t="s">
        <v>135</v>
      </c>
      <c r="B106" s="220">
        <v>85</v>
      </c>
      <c r="C106" s="221">
        <v>3599</v>
      </c>
      <c r="D106" s="221">
        <v>2839</v>
      </c>
      <c r="E106" s="221">
        <v>3569</v>
      </c>
      <c r="F106" s="221">
        <v>3915</v>
      </c>
      <c r="G106" s="221">
        <v>4182</v>
      </c>
      <c r="H106" s="221">
        <v>5026</v>
      </c>
    </row>
    <row r="107" spans="1:8">
      <c r="A107" s="220" t="s">
        <v>463</v>
      </c>
      <c r="B107" s="220">
        <v>23</v>
      </c>
      <c r="C107" s="221">
        <v>3616</v>
      </c>
      <c r="D107" s="221">
        <v>3166</v>
      </c>
      <c r="E107" s="221">
        <v>3596</v>
      </c>
      <c r="F107" s="221">
        <v>3679</v>
      </c>
      <c r="G107" s="221">
        <v>4265</v>
      </c>
      <c r="H107" s="221">
        <v>5512</v>
      </c>
    </row>
    <row r="108" spans="1:8">
      <c r="A108" s="220" t="s">
        <v>137</v>
      </c>
      <c r="B108" s="220">
        <v>50</v>
      </c>
      <c r="C108" s="221">
        <v>3296</v>
      </c>
      <c r="D108" s="221">
        <v>2556</v>
      </c>
      <c r="E108" s="221">
        <v>3083</v>
      </c>
      <c r="F108" s="221">
        <v>3346</v>
      </c>
      <c r="G108" s="221">
        <v>4314</v>
      </c>
      <c r="H108" s="221">
        <v>5582</v>
      </c>
    </row>
    <row r="109" spans="1:8">
      <c r="A109" s="220" t="s">
        <v>140</v>
      </c>
      <c r="B109" s="220">
        <v>63</v>
      </c>
      <c r="C109" s="221">
        <v>8041</v>
      </c>
      <c r="D109" s="221">
        <v>5934</v>
      </c>
      <c r="E109" s="221">
        <v>8158</v>
      </c>
      <c r="F109" s="221">
        <v>9285</v>
      </c>
      <c r="G109" s="221">
        <v>10354</v>
      </c>
      <c r="H109" s="221">
        <v>12659</v>
      </c>
    </row>
    <row r="110" spans="1:8">
      <c r="A110" s="220" t="s">
        <v>464</v>
      </c>
      <c r="B110" s="220">
        <v>217</v>
      </c>
      <c r="C110" s="221">
        <v>5500</v>
      </c>
      <c r="D110" s="221">
        <v>3933</v>
      </c>
      <c r="E110" s="221">
        <v>5187</v>
      </c>
      <c r="F110" s="221">
        <v>6341</v>
      </c>
      <c r="G110" s="221">
        <v>6874</v>
      </c>
      <c r="H110" s="221">
        <v>8311</v>
      </c>
    </row>
    <row r="111" spans="1:8">
      <c r="A111" s="220" t="s">
        <v>465</v>
      </c>
      <c r="B111" s="220">
        <v>56</v>
      </c>
      <c r="C111" s="221">
        <v>5167</v>
      </c>
      <c r="D111" s="221">
        <v>3525</v>
      </c>
      <c r="E111" s="221">
        <v>5226</v>
      </c>
      <c r="F111" s="221">
        <v>5913</v>
      </c>
      <c r="G111" s="221">
        <v>6735</v>
      </c>
      <c r="H111" s="221">
        <v>7885</v>
      </c>
    </row>
    <row r="112" spans="1:8">
      <c r="A112" s="220" t="s">
        <v>466</v>
      </c>
      <c r="B112" s="220">
        <v>28</v>
      </c>
      <c r="C112" s="221">
        <v>5817</v>
      </c>
      <c r="D112" s="221">
        <v>4324</v>
      </c>
      <c r="E112" s="221">
        <v>5440</v>
      </c>
      <c r="F112" s="221">
        <v>6065</v>
      </c>
      <c r="G112" s="221">
        <v>6714</v>
      </c>
      <c r="H112" s="221">
        <v>8760</v>
      </c>
    </row>
    <row r="113" spans="1:8">
      <c r="A113" s="220" t="s">
        <v>467</v>
      </c>
      <c r="B113" s="220">
        <v>65</v>
      </c>
      <c r="C113" s="221">
        <v>5092</v>
      </c>
      <c r="D113" s="221">
        <v>3927</v>
      </c>
      <c r="E113" s="221">
        <v>4657</v>
      </c>
      <c r="F113" s="221">
        <v>5440</v>
      </c>
      <c r="G113" s="221">
        <v>5708</v>
      </c>
      <c r="H113" s="221">
        <v>7815</v>
      </c>
    </row>
    <row r="114" spans="1:8">
      <c r="A114" s="220" t="s">
        <v>468</v>
      </c>
      <c r="B114" s="220">
        <v>41</v>
      </c>
      <c r="C114" s="221">
        <v>2557</v>
      </c>
      <c r="D114" s="221">
        <v>1985</v>
      </c>
      <c r="E114" s="221">
        <v>2458</v>
      </c>
      <c r="F114" s="221">
        <v>2647</v>
      </c>
      <c r="G114" s="221">
        <v>2893</v>
      </c>
      <c r="H114" s="221">
        <v>3761</v>
      </c>
    </row>
    <row r="115" spans="1:8">
      <c r="A115" s="220" t="s">
        <v>469</v>
      </c>
      <c r="B115" s="220">
        <v>66</v>
      </c>
      <c r="C115" s="221">
        <v>6782</v>
      </c>
      <c r="D115" s="221">
        <v>5468</v>
      </c>
      <c r="E115" s="221">
        <v>6997</v>
      </c>
      <c r="F115" s="221">
        <v>7655</v>
      </c>
      <c r="G115" s="221">
        <v>8701</v>
      </c>
      <c r="H115" s="221">
        <v>10211</v>
      </c>
    </row>
    <row r="116" spans="1:8">
      <c r="A116" s="220" t="s">
        <v>186</v>
      </c>
      <c r="B116" s="220">
        <v>333</v>
      </c>
      <c r="C116" s="221">
        <v>4290</v>
      </c>
      <c r="D116" s="221">
        <v>2755</v>
      </c>
      <c r="E116" s="221">
        <v>4112</v>
      </c>
      <c r="F116" s="221">
        <v>4965</v>
      </c>
      <c r="G116" s="221">
        <v>5656</v>
      </c>
      <c r="H116" s="221">
        <v>7158</v>
      </c>
    </row>
    <row r="117" spans="1:8">
      <c r="A117" s="220" t="s">
        <v>470</v>
      </c>
      <c r="B117" s="220">
        <v>246</v>
      </c>
      <c r="C117" s="221">
        <v>2806</v>
      </c>
      <c r="D117" s="221">
        <v>2020</v>
      </c>
      <c r="E117" s="221">
        <v>2692</v>
      </c>
      <c r="F117" s="221">
        <v>3202</v>
      </c>
      <c r="G117" s="221">
        <v>3496</v>
      </c>
      <c r="H117" s="221">
        <v>4407</v>
      </c>
    </row>
    <row r="118" spans="1:8">
      <c r="A118" s="220" t="s">
        <v>471</v>
      </c>
      <c r="B118" s="220">
        <v>302</v>
      </c>
      <c r="C118" s="221">
        <v>6394</v>
      </c>
      <c r="D118" s="221">
        <v>4882</v>
      </c>
      <c r="E118" s="221">
        <v>6118</v>
      </c>
      <c r="F118" s="221">
        <v>7247</v>
      </c>
      <c r="G118" s="221">
        <v>7790</v>
      </c>
      <c r="H118" s="221">
        <v>9564</v>
      </c>
    </row>
    <row r="119" spans="1:8">
      <c r="A119" s="220" t="s">
        <v>148</v>
      </c>
      <c r="B119" s="220">
        <v>181</v>
      </c>
      <c r="C119" s="221">
        <v>11139</v>
      </c>
      <c r="D119" s="221">
        <v>8282</v>
      </c>
      <c r="E119" s="221">
        <v>10556</v>
      </c>
      <c r="F119" s="221">
        <v>12827</v>
      </c>
      <c r="G119" s="221">
        <v>14222</v>
      </c>
      <c r="H119" s="221">
        <v>16788</v>
      </c>
    </row>
    <row r="120" spans="1:8">
      <c r="A120" s="220" t="s">
        <v>472</v>
      </c>
      <c r="B120" s="220">
        <v>67</v>
      </c>
      <c r="C120" s="221">
        <v>11356</v>
      </c>
      <c r="D120" s="221">
        <v>9202</v>
      </c>
      <c r="E120" s="221">
        <v>11102</v>
      </c>
      <c r="F120" s="221">
        <v>12466</v>
      </c>
      <c r="G120" s="221">
        <v>13916</v>
      </c>
      <c r="H120" s="221">
        <v>15688</v>
      </c>
    </row>
    <row r="121" spans="1:8">
      <c r="A121" s="220" t="s">
        <v>473</v>
      </c>
      <c r="B121" s="220">
        <v>40</v>
      </c>
      <c r="C121" s="221">
        <v>12039</v>
      </c>
      <c r="D121" s="221">
        <v>9498</v>
      </c>
      <c r="E121" s="221">
        <v>11155</v>
      </c>
      <c r="F121" s="221">
        <v>12746</v>
      </c>
      <c r="G121" s="221">
        <v>14198</v>
      </c>
      <c r="H121" s="221">
        <v>19345</v>
      </c>
    </row>
    <row r="122" spans="1:8">
      <c r="A122" s="220" t="s">
        <v>474</v>
      </c>
      <c r="B122" s="220">
        <v>28</v>
      </c>
      <c r="C122" s="221">
        <v>10424</v>
      </c>
      <c r="D122" s="221">
        <v>7122</v>
      </c>
      <c r="E122" s="221">
        <v>10010</v>
      </c>
      <c r="F122" s="221">
        <v>12148</v>
      </c>
      <c r="G122" s="221">
        <v>13717</v>
      </c>
      <c r="H122" s="221">
        <v>15597</v>
      </c>
    </row>
    <row r="123" spans="1:8">
      <c r="A123" s="220" t="s">
        <v>149</v>
      </c>
      <c r="B123" s="220">
        <v>837</v>
      </c>
      <c r="C123" s="221">
        <v>9085</v>
      </c>
      <c r="D123" s="221">
        <v>6445</v>
      </c>
      <c r="E123" s="221">
        <v>9204</v>
      </c>
      <c r="F123" s="221">
        <v>10592</v>
      </c>
      <c r="G123" s="221">
        <v>11572</v>
      </c>
      <c r="H123" s="221">
        <v>14050</v>
      </c>
    </row>
    <row r="124" spans="1:8">
      <c r="A124" s="220" t="s">
        <v>150</v>
      </c>
      <c r="B124" s="220">
        <v>237</v>
      </c>
      <c r="C124" s="221">
        <v>6760</v>
      </c>
      <c r="D124" s="221">
        <v>5009</v>
      </c>
      <c r="E124" s="221">
        <v>6412</v>
      </c>
      <c r="F124" s="221">
        <v>7376</v>
      </c>
      <c r="G124" s="221">
        <v>8356</v>
      </c>
      <c r="H124" s="221">
        <v>10665</v>
      </c>
    </row>
    <row r="125" spans="1:8">
      <c r="A125" s="220" t="s">
        <v>475</v>
      </c>
      <c r="B125" s="220">
        <v>68</v>
      </c>
      <c r="C125" s="221">
        <v>8136</v>
      </c>
      <c r="D125" s="221">
        <v>4885</v>
      </c>
      <c r="E125" s="221">
        <v>6830</v>
      </c>
      <c r="F125" s="221">
        <v>8568</v>
      </c>
      <c r="G125" s="221">
        <v>9544</v>
      </c>
      <c r="H125" s="221">
        <v>15762</v>
      </c>
    </row>
    <row r="126" spans="1:8">
      <c r="A126" s="220" t="s">
        <v>153</v>
      </c>
      <c r="B126" s="220">
        <v>191</v>
      </c>
      <c r="C126" s="221">
        <v>5137</v>
      </c>
      <c r="D126" s="221">
        <v>4207</v>
      </c>
      <c r="E126" s="221">
        <v>5055</v>
      </c>
      <c r="F126" s="221">
        <v>5707</v>
      </c>
      <c r="G126" s="221">
        <v>6226</v>
      </c>
      <c r="H126" s="221">
        <v>6958</v>
      </c>
    </row>
    <row r="127" spans="1:8">
      <c r="A127" s="220" t="s">
        <v>154</v>
      </c>
      <c r="B127" s="220">
        <v>63</v>
      </c>
      <c r="C127" s="221">
        <v>5507</v>
      </c>
      <c r="D127" s="221">
        <v>4095</v>
      </c>
      <c r="E127" s="221">
        <v>5448</v>
      </c>
      <c r="F127" s="221">
        <v>6135</v>
      </c>
      <c r="G127" s="221">
        <v>6637</v>
      </c>
      <c r="H127" s="221">
        <v>7509</v>
      </c>
    </row>
    <row r="128" spans="1:8">
      <c r="A128" s="220" t="s">
        <v>476</v>
      </c>
      <c r="B128" s="220">
        <v>120</v>
      </c>
      <c r="C128" s="221">
        <v>2123</v>
      </c>
      <c r="D128" s="221">
        <v>1290</v>
      </c>
      <c r="E128" s="221">
        <v>2123</v>
      </c>
      <c r="F128" s="221">
        <v>2762</v>
      </c>
      <c r="G128" s="221">
        <v>3013</v>
      </c>
      <c r="H128" s="221">
        <v>3513</v>
      </c>
    </row>
    <row r="129" spans="1:8">
      <c r="A129" s="220" t="s">
        <v>272</v>
      </c>
      <c r="B129" s="220">
        <v>24</v>
      </c>
      <c r="C129" s="221">
        <v>7465</v>
      </c>
      <c r="D129" s="221">
        <v>4868</v>
      </c>
      <c r="E129" s="221">
        <v>7646</v>
      </c>
      <c r="F129" s="221">
        <v>8812</v>
      </c>
      <c r="G129" s="221">
        <v>11965</v>
      </c>
      <c r="H129" s="221">
        <v>14833</v>
      </c>
    </row>
    <row r="130" spans="1:8">
      <c r="A130" s="220" t="s">
        <v>477</v>
      </c>
      <c r="B130" s="220">
        <v>20</v>
      </c>
      <c r="C130" s="221">
        <v>12694</v>
      </c>
      <c r="D130" s="221">
        <v>9545</v>
      </c>
      <c r="E130" s="221">
        <v>11919</v>
      </c>
      <c r="F130" s="221">
        <v>13877</v>
      </c>
      <c r="G130" s="221">
        <v>15581</v>
      </c>
      <c r="H130" s="221">
        <v>22574</v>
      </c>
    </row>
    <row r="131" spans="1:8">
      <c r="A131" s="220" t="s">
        <v>478</v>
      </c>
      <c r="B131" s="220">
        <v>181</v>
      </c>
      <c r="C131" s="221">
        <v>10742</v>
      </c>
      <c r="D131" s="221">
        <v>7286</v>
      </c>
      <c r="E131" s="221">
        <v>9815</v>
      </c>
      <c r="F131" s="221">
        <v>11539</v>
      </c>
      <c r="G131" s="221">
        <v>14147</v>
      </c>
      <c r="H131" s="221">
        <v>20296</v>
      </c>
    </row>
    <row r="132" spans="1:8">
      <c r="A132" s="220" t="s">
        <v>157</v>
      </c>
      <c r="B132" s="220">
        <v>107</v>
      </c>
      <c r="C132" s="221">
        <v>7693</v>
      </c>
      <c r="D132" s="221">
        <v>5682</v>
      </c>
      <c r="E132" s="221">
        <v>7815</v>
      </c>
      <c r="F132" s="221">
        <v>8774</v>
      </c>
      <c r="G132" s="221">
        <v>9564</v>
      </c>
      <c r="H132" s="221">
        <v>11959</v>
      </c>
    </row>
    <row r="133" spans="1:8">
      <c r="A133" s="220" t="s">
        <v>158</v>
      </c>
      <c r="B133" s="220">
        <v>335</v>
      </c>
      <c r="C133" s="221">
        <v>7466</v>
      </c>
      <c r="D133" s="221">
        <v>4977</v>
      </c>
      <c r="E133" s="221">
        <v>7017</v>
      </c>
      <c r="F133" s="221">
        <v>8649</v>
      </c>
      <c r="G133" s="221">
        <v>9863</v>
      </c>
      <c r="H133" s="221">
        <v>12680</v>
      </c>
    </row>
    <row r="134" spans="1:8">
      <c r="A134" s="220" t="s">
        <v>159</v>
      </c>
      <c r="B134" s="220">
        <v>425</v>
      </c>
      <c r="C134" s="221">
        <v>11073</v>
      </c>
      <c r="D134" s="221">
        <v>6800</v>
      </c>
      <c r="E134" s="221">
        <v>10240</v>
      </c>
      <c r="F134" s="221">
        <v>12614</v>
      </c>
      <c r="G134" s="221">
        <v>14149</v>
      </c>
      <c r="H134" s="221">
        <v>19325</v>
      </c>
    </row>
    <row r="135" spans="1:8">
      <c r="A135" s="220" t="s">
        <v>161</v>
      </c>
      <c r="B135" s="220">
        <v>44</v>
      </c>
      <c r="C135" s="221">
        <v>4846</v>
      </c>
      <c r="D135" s="221">
        <v>3312</v>
      </c>
      <c r="E135" s="221">
        <v>4713</v>
      </c>
      <c r="F135" s="221">
        <v>5318</v>
      </c>
      <c r="G135" s="221">
        <v>6655</v>
      </c>
      <c r="H135" s="221">
        <v>9727</v>
      </c>
    </row>
    <row r="136" spans="1:8">
      <c r="A136" s="220" t="s">
        <v>479</v>
      </c>
      <c r="B136" s="220">
        <v>109</v>
      </c>
      <c r="C136" s="221">
        <v>5444</v>
      </c>
      <c r="D136" s="221">
        <v>3889</v>
      </c>
      <c r="E136" s="221">
        <v>5340</v>
      </c>
      <c r="F136" s="221">
        <v>6504</v>
      </c>
      <c r="G136" s="221">
        <v>7219</v>
      </c>
      <c r="H136" s="221">
        <v>8961</v>
      </c>
    </row>
    <row r="137" spans="1:8">
      <c r="A137" s="220" t="s">
        <v>480</v>
      </c>
      <c r="B137" s="220">
        <v>24</v>
      </c>
      <c r="C137" s="221">
        <v>8227</v>
      </c>
      <c r="D137" s="221">
        <v>5283</v>
      </c>
      <c r="E137" s="221">
        <v>7509</v>
      </c>
      <c r="F137" s="221">
        <v>9316</v>
      </c>
      <c r="G137" s="221">
        <v>10730</v>
      </c>
      <c r="H137" s="221">
        <v>12183</v>
      </c>
    </row>
    <row r="138" spans="1:8">
      <c r="A138" s="220" t="s">
        <v>481</v>
      </c>
      <c r="B138" s="220">
        <v>33</v>
      </c>
      <c r="C138" s="221">
        <v>5731</v>
      </c>
      <c r="D138" s="221">
        <v>4140</v>
      </c>
      <c r="E138" s="221">
        <v>5759</v>
      </c>
      <c r="F138" s="221">
        <v>6524</v>
      </c>
      <c r="G138" s="221">
        <v>7616</v>
      </c>
      <c r="H138" s="221">
        <v>9441</v>
      </c>
    </row>
    <row r="139" spans="1:8">
      <c r="A139" s="220" t="s">
        <v>482</v>
      </c>
      <c r="B139" s="220">
        <v>256</v>
      </c>
      <c r="C139" s="221">
        <v>9230</v>
      </c>
      <c r="D139" s="221">
        <v>6319</v>
      </c>
      <c r="E139" s="221">
        <v>8288</v>
      </c>
      <c r="F139" s="221">
        <v>9907</v>
      </c>
      <c r="G139" s="221">
        <v>11503</v>
      </c>
      <c r="H139" s="221">
        <v>16037</v>
      </c>
    </row>
    <row r="140" spans="1:8">
      <c r="A140" s="220" t="s">
        <v>483</v>
      </c>
      <c r="B140" s="220">
        <v>127</v>
      </c>
      <c r="C140" s="221">
        <v>7832</v>
      </c>
      <c r="D140" s="221">
        <v>5039</v>
      </c>
      <c r="E140" s="221">
        <v>7092</v>
      </c>
      <c r="F140" s="221">
        <v>8947</v>
      </c>
      <c r="G140" s="221">
        <v>10458</v>
      </c>
      <c r="H140" s="221">
        <v>13146</v>
      </c>
    </row>
    <row r="141" spans="1:8">
      <c r="A141" s="220" t="s">
        <v>167</v>
      </c>
      <c r="B141" s="220">
        <v>224</v>
      </c>
      <c r="C141" s="221">
        <v>8618</v>
      </c>
      <c r="D141" s="221">
        <v>6275</v>
      </c>
      <c r="E141" s="221">
        <v>8283</v>
      </c>
      <c r="F141" s="221">
        <v>9522</v>
      </c>
      <c r="G141" s="221">
        <v>10682</v>
      </c>
      <c r="H141" s="221">
        <v>13613</v>
      </c>
    </row>
    <row r="142" spans="1:8">
      <c r="A142" s="220" t="s">
        <v>484</v>
      </c>
      <c r="B142" s="220">
        <v>223</v>
      </c>
      <c r="C142" s="221">
        <v>8745</v>
      </c>
      <c r="D142" s="221">
        <v>5896</v>
      </c>
      <c r="E142" s="221">
        <v>8225</v>
      </c>
      <c r="F142" s="221">
        <v>9647</v>
      </c>
      <c r="G142" s="221">
        <v>11023</v>
      </c>
      <c r="H142" s="221">
        <v>13539</v>
      </c>
    </row>
    <row r="143" spans="1:8">
      <c r="A143" s="220" t="s">
        <v>485</v>
      </c>
      <c r="B143" s="220">
        <v>130</v>
      </c>
      <c r="C143" s="221">
        <v>7435</v>
      </c>
      <c r="D143" s="221">
        <v>5239</v>
      </c>
      <c r="E143" s="221">
        <v>7009</v>
      </c>
      <c r="F143" s="221">
        <v>8555</v>
      </c>
      <c r="G143" s="221">
        <v>9252</v>
      </c>
      <c r="H143" s="221">
        <v>11763</v>
      </c>
    </row>
    <row r="144" spans="1:8">
      <c r="A144" s="220" t="s">
        <v>486</v>
      </c>
      <c r="B144" s="220">
        <v>70</v>
      </c>
      <c r="C144" s="221">
        <v>6757</v>
      </c>
      <c r="D144" s="221">
        <v>4481</v>
      </c>
      <c r="E144" s="221">
        <v>6444</v>
      </c>
      <c r="F144" s="221">
        <v>7621</v>
      </c>
      <c r="G144" s="221">
        <v>8215</v>
      </c>
      <c r="H144" s="221">
        <v>10384</v>
      </c>
    </row>
    <row r="145" spans="1:8">
      <c r="A145" s="220" t="s">
        <v>487</v>
      </c>
      <c r="B145" s="220">
        <v>69</v>
      </c>
      <c r="C145" s="221">
        <v>7466</v>
      </c>
      <c r="D145" s="221">
        <v>4311</v>
      </c>
      <c r="E145" s="221">
        <v>7094</v>
      </c>
      <c r="F145" s="221">
        <v>8404</v>
      </c>
      <c r="G145" s="221">
        <v>9860</v>
      </c>
      <c r="H145" s="221">
        <v>12835</v>
      </c>
    </row>
    <row r="146" spans="1:8">
      <c r="A146" s="220" t="s">
        <v>488</v>
      </c>
      <c r="B146" s="220">
        <v>49</v>
      </c>
      <c r="C146" s="221">
        <v>6595</v>
      </c>
      <c r="D146" s="221">
        <v>4753</v>
      </c>
      <c r="E146" s="221">
        <v>6007</v>
      </c>
      <c r="F146" s="221">
        <v>7382</v>
      </c>
      <c r="G146" s="221">
        <v>8417</v>
      </c>
      <c r="H146" s="221">
        <v>11029</v>
      </c>
    </row>
    <row r="147" spans="1:8">
      <c r="A147" s="220" t="s">
        <v>489</v>
      </c>
      <c r="B147" s="220">
        <v>53</v>
      </c>
      <c r="C147" s="221">
        <v>7186</v>
      </c>
      <c r="D147" s="221">
        <v>5390</v>
      </c>
      <c r="E147" s="221">
        <v>6821</v>
      </c>
      <c r="F147" s="221">
        <v>8235</v>
      </c>
      <c r="G147" s="221">
        <v>9845</v>
      </c>
      <c r="H147" s="221">
        <v>10682</v>
      </c>
    </row>
    <row r="148" spans="1:8">
      <c r="A148" s="220" t="s">
        <v>490</v>
      </c>
      <c r="B148" s="220">
        <v>82</v>
      </c>
      <c r="C148" s="221">
        <v>6784</v>
      </c>
      <c r="D148" s="221">
        <v>5671</v>
      </c>
      <c r="E148" s="221">
        <v>6900</v>
      </c>
      <c r="F148" s="221">
        <v>7494</v>
      </c>
      <c r="G148" s="221">
        <v>7857</v>
      </c>
      <c r="H148" s="221">
        <v>9597</v>
      </c>
    </row>
    <row r="149" spans="1:8">
      <c r="A149" s="220" t="s">
        <v>170</v>
      </c>
      <c r="B149" s="220">
        <v>257</v>
      </c>
      <c r="C149" s="221">
        <v>8761</v>
      </c>
      <c r="D149" s="221">
        <v>6428</v>
      </c>
      <c r="E149" s="221">
        <v>8520</v>
      </c>
      <c r="F149" s="221">
        <v>9867</v>
      </c>
      <c r="G149" s="221">
        <v>10738</v>
      </c>
      <c r="H149" s="221">
        <v>13467</v>
      </c>
    </row>
    <row r="150" spans="1:8">
      <c r="A150" s="220" t="s">
        <v>491</v>
      </c>
      <c r="B150" s="220">
        <v>78</v>
      </c>
      <c r="C150" s="221">
        <v>10324</v>
      </c>
      <c r="D150" s="221">
        <v>7699</v>
      </c>
      <c r="E150" s="221">
        <v>10271</v>
      </c>
      <c r="F150" s="221">
        <v>11937</v>
      </c>
      <c r="G150" s="221">
        <v>12809</v>
      </c>
      <c r="H150" s="221">
        <v>15523</v>
      </c>
    </row>
  </sheetData>
  <autoFilter ref="A3:H3"/>
  <mergeCells count="2">
    <mergeCell ref="A1:H1"/>
    <mergeCell ref="A2:H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7"/>
  <sheetViews>
    <sheetView showGridLines="0" workbookViewId="0">
      <selection activeCell="B12" sqref="B12:J15"/>
    </sheetView>
  </sheetViews>
  <sheetFormatPr defaultColWidth="9.140625" defaultRowHeight="15"/>
  <cols>
    <col min="1" max="1" width="10.42578125" style="218" bestFit="1" customWidth="1"/>
    <col min="2" max="2" width="12.85546875" style="218" bestFit="1" customWidth="1"/>
    <col min="3" max="3" width="11.85546875" style="218" bestFit="1" customWidth="1"/>
    <col min="4" max="4" width="22.42578125" style="218" bestFit="1" customWidth="1"/>
    <col min="5" max="5" width="10.42578125" style="218" bestFit="1" customWidth="1"/>
    <col min="6" max="6" width="34.85546875" style="218" bestFit="1" customWidth="1"/>
    <col min="7" max="7" width="9.85546875" style="218" bestFit="1" customWidth="1"/>
    <col min="8" max="8" width="17.7109375" style="218" bestFit="1" customWidth="1"/>
    <col min="9" max="9" width="28.85546875" style="218" bestFit="1" customWidth="1"/>
    <col min="10" max="10" width="6.28515625" style="218" bestFit="1" customWidth="1"/>
    <col min="11" max="13" width="9.140625" style="218"/>
    <col min="14" max="14" width="11.28515625" style="218" bestFit="1" customWidth="1"/>
    <col min="15" max="16384" width="9.140625" style="218"/>
  </cols>
  <sheetData>
    <row r="1" spans="1:14">
      <c r="A1" s="223" t="s">
        <v>571</v>
      </c>
      <c r="B1" s="223" t="s">
        <v>572</v>
      </c>
      <c r="C1" s="223" t="s">
        <v>573</v>
      </c>
      <c r="D1" s="223" t="s">
        <v>574</v>
      </c>
      <c r="E1" s="223" t="s">
        <v>575</v>
      </c>
      <c r="F1" s="223" t="s">
        <v>576</v>
      </c>
      <c r="G1" s="223" t="s">
        <v>577</v>
      </c>
      <c r="H1" s="223" t="s">
        <v>344</v>
      </c>
      <c r="I1" s="223" t="s">
        <v>578</v>
      </c>
      <c r="J1" s="224" t="s">
        <v>579</v>
      </c>
      <c r="K1" s="224" t="s">
        <v>580</v>
      </c>
      <c r="L1" s="224" t="s">
        <v>581</v>
      </c>
      <c r="M1" s="224" t="s">
        <v>582</v>
      </c>
      <c r="N1" s="224" t="s">
        <v>395</v>
      </c>
    </row>
    <row r="2" spans="1:14">
      <c r="A2" s="225" t="s">
        <v>583</v>
      </c>
      <c r="B2" s="225" t="s">
        <v>584</v>
      </c>
      <c r="C2" s="225">
        <v>100</v>
      </c>
      <c r="D2" s="225" t="s">
        <v>585</v>
      </c>
      <c r="E2" s="225">
        <v>-2</v>
      </c>
      <c r="F2" s="225" t="s">
        <v>502</v>
      </c>
      <c r="G2" s="225">
        <v>5</v>
      </c>
      <c r="H2" s="225" t="s">
        <v>349</v>
      </c>
      <c r="I2" s="225" t="s">
        <v>586</v>
      </c>
      <c r="J2" s="226">
        <v>4679</v>
      </c>
      <c r="K2" s="226">
        <v>148000</v>
      </c>
      <c r="L2" s="226">
        <v>217889</v>
      </c>
      <c r="M2" s="226">
        <v>298219</v>
      </c>
      <c r="N2" s="227">
        <v>233770.1</v>
      </c>
    </row>
    <row r="3" spans="1:14">
      <c r="A3" s="225" t="s">
        <v>583</v>
      </c>
      <c r="B3" s="225" t="s">
        <v>584</v>
      </c>
      <c r="C3" s="225">
        <v>100</v>
      </c>
      <c r="D3" s="225" t="s">
        <v>585</v>
      </c>
      <c r="E3" s="225">
        <v>-2</v>
      </c>
      <c r="F3" s="225" t="s">
        <v>502</v>
      </c>
      <c r="G3" s="225">
        <v>4</v>
      </c>
      <c r="H3" s="225" t="s">
        <v>382</v>
      </c>
      <c r="I3" s="225" t="s">
        <v>586</v>
      </c>
      <c r="J3" s="226">
        <v>44718</v>
      </c>
      <c r="K3" s="226">
        <v>214140</v>
      </c>
      <c r="L3" s="226">
        <v>273268</v>
      </c>
      <c r="M3" s="226">
        <v>367900</v>
      </c>
      <c r="N3" s="227">
        <v>307310.09999999998</v>
      </c>
    </row>
    <row r="4" spans="1:14">
      <c r="A4" s="225" t="s">
        <v>583</v>
      </c>
      <c r="B4" s="225" t="s">
        <v>584</v>
      </c>
      <c r="C4" s="225">
        <v>100</v>
      </c>
      <c r="D4" s="225" t="s">
        <v>585</v>
      </c>
      <c r="E4" s="225">
        <v>-2</v>
      </c>
      <c r="F4" s="225" t="s">
        <v>502</v>
      </c>
      <c r="G4" s="225">
        <v>3</v>
      </c>
      <c r="H4" s="225" t="s">
        <v>383</v>
      </c>
      <c r="I4" s="225" t="s">
        <v>586</v>
      </c>
      <c r="J4" s="226">
        <v>20679</v>
      </c>
      <c r="K4" s="226">
        <v>240871</v>
      </c>
      <c r="L4" s="226">
        <v>314538</v>
      </c>
      <c r="M4" s="226">
        <v>430605</v>
      </c>
      <c r="N4" s="227">
        <v>361844.9</v>
      </c>
    </row>
    <row r="5" spans="1:14">
      <c r="A5" s="225" t="s">
        <v>583</v>
      </c>
      <c r="B5" s="225" t="s">
        <v>584</v>
      </c>
      <c r="C5" s="225">
        <v>100</v>
      </c>
      <c r="D5" s="225" t="s">
        <v>585</v>
      </c>
      <c r="E5" s="225">
        <v>-2</v>
      </c>
      <c r="F5" s="225" t="s">
        <v>502</v>
      </c>
      <c r="G5" s="225">
        <v>2</v>
      </c>
      <c r="H5" s="225" t="s">
        <v>352</v>
      </c>
      <c r="I5" s="225" t="s">
        <v>586</v>
      </c>
      <c r="J5" s="226">
        <v>16678</v>
      </c>
      <c r="K5" s="226">
        <v>275032</v>
      </c>
      <c r="L5" s="226">
        <v>357323</v>
      </c>
      <c r="M5" s="226">
        <v>477070</v>
      </c>
      <c r="N5" s="227">
        <v>411216.1</v>
      </c>
    </row>
    <row r="6" spans="1:14">
      <c r="A6" s="225" t="s">
        <v>583</v>
      </c>
      <c r="B6" s="225" t="s">
        <v>584</v>
      </c>
      <c r="C6" s="225">
        <v>100</v>
      </c>
      <c r="D6" s="225" t="s">
        <v>585</v>
      </c>
      <c r="E6" s="225">
        <v>-2</v>
      </c>
      <c r="F6" s="225" t="s">
        <v>502</v>
      </c>
      <c r="G6" s="225">
        <v>6</v>
      </c>
      <c r="H6" s="225" t="s">
        <v>385</v>
      </c>
      <c r="I6" s="225" t="s">
        <v>586</v>
      </c>
      <c r="J6" s="226">
        <v>2990</v>
      </c>
      <c r="K6" s="226">
        <v>312593</v>
      </c>
      <c r="L6" s="226">
        <v>406466</v>
      </c>
      <c r="M6" s="226">
        <v>544500</v>
      </c>
      <c r="N6" s="227">
        <v>479458</v>
      </c>
    </row>
    <row r="7" spans="1:14">
      <c r="A7" s="225" t="s">
        <v>583</v>
      </c>
      <c r="B7" s="225" t="s">
        <v>584</v>
      </c>
      <c r="C7" s="225">
        <v>100</v>
      </c>
      <c r="D7" s="225" t="s">
        <v>585</v>
      </c>
      <c r="E7" s="225">
        <v>-2</v>
      </c>
      <c r="F7" s="225" t="s">
        <v>502</v>
      </c>
      <c r="G7" s="225">
        <v>1</v>
      </c>
      <c r="H7" s="225" t="s">
        <v>384</v>
      </c>
      <c r="I7" s="225" t="s">
        <v>586</v>
      </c>
      <c r="J7" s="226">
        <v>1671</v>
      </c>
      <c r="K7" s="226">
        <v>491871</v>
      </c>
      <c r="L7" s="226">
        <v>643379</v>
      </c>
      <c r="M7" s="226">
        <v>830519</v>
      </c>
      <c r="N7" s="227">
        <v>722611.9</v>
      </c>
    </row>
    <row r="8" spans="1:14">
      <c r="A8" s="225" t="s">
        <v>583</v>
      </c>
      <c r="B8" s="225" t="s">
        <v>584</v>
      </c>
      <c r="C8" s="225">
        <v>100</v>
      </c>
      <c r="D8" s="225" t="s">
        <v>585</v>
      </c>
      <c r="E8" s="225">
        <v>-12</v>
      </c>
      <c r="F8" s="225" t="s">
        <v>557</v>
      </c>
      <c r="G8" s="225">
        <v>5</v>
      </c>
      <c r="H8" s="225" t="s">
        <v>349</v>
      </c>
      <c r="I8" s="225" t="s">
        <v>586</v>
      </c>
      <c r="J8" s="228">
        <v>373</v>
      </c>
      <c r="K8" s="226">
        <v>276013</v>
      </c>
      <c r="L8" s="226">
        <v>354506</v>
      </c>
      <c r="M8" s="226">
        <v>414714</v>
      </c>
      <c r="N8" s="227">
        <v>334520.5</v>
      </c>
    </row>
    <row r="9" spans="1:14">
      <c r="A9" s="225" t="s">
        <v>583</v>
      </c>
      <c r="B9" s="225" t="s">
        <v>584</v>
      </c>
      <c r="C9" s="225">
        <v>100</v>
      </c>
      <c r="D9" s="225" t="s">
        <v>585</v>
      </c>
      <c r="E9" s="225">
        <v>-12</v>
      </c>
      <c r="F9" s="225" t="s">
        <v>557</v>
      </c>
      <c r="G9" s="225">
        <v>4</v>
      </c>
      <c r="H9" s="225" t="s">
        <v>382</v>
      </c>
      <c r="I9" s="225" t="s">
        <v>586</v>
      </c>
      <c r="J9" s="226">
        <v>3282</v>
      </c>
      <c r="K9" s="226">
        <v>352760</v>
      </c>
      <c r="L9" s="226">
        <v>397930</v>
      </c>
      <c r="M9" s="226">
        <v>449523</v>
      </c>
      <c r="N9" s="227">
        <v>400774.9</v>
      </c>
    </row>
    <row r="10" spans="1:14">
      <c r="A10" s="225" t="s">
        <v>583</v>
      </c>
      <c r="B10" s="225" t="s">
        <v>584</v>
      </c>
      <c r="C10" s="225">
        <v>100</v>
      </c>
      <c r="D10" s="225" t="s">
        <v>585</v>
      </c>
      <c r="E10" s="225">
        <v>-12</v>
      </c>
      <c r="F10" s="225" t="s">
        <v>557</v>
      </c>
      <c r="G10" s="225">
        <v>3</v>
      </c>
      <c r="H10" s="225" t="s">
        <v>383</v>
      </c>
      <c r="I10" s="225" t="s">
        <v>586</v>
      </c>
      <c r="J10" s="226">
        <v>1283</v>
      </c>
      <c r="K10" s="226">
        <v>379331</v>
      </c>
      <c r="L10" s="226">
        <v>432010</v>
      </c>
      <c r="M10" s="226">
        <v>483318</v>
      </c>
      <c r="N10" s="227">
        <v>433890.6</v>
      </c>
    </row>
    <row r="11" spans="1:14">
      <c r="A11" s="225" t="s">
        <v>583</v>
      </c>
      <c r="B11" s="225" t="s">
        <v>584</v>
      </c>
      <c r="C11" s="225">
        <v>100</v>
      </c>
      <c r="D11" s="225" t="s">
        <v>585</v>
      </c>
      <c r="E11" s="225">
        <v>-12</v>
      </c>
      <c r="F11" s="225" t="s">
        <v>557</v>
      </c>
      <c r="G11" s="225">
        <v>2</v>
      </c>
      <c r="H11" s="225" t="s">
        <v>352</v>
      </c>
      <c r="I11" s="225" t="s">
        <v>586</v>
      </c>
      <c r="J11" s="228">
        <v>763</v>
      </c>
      <c r="K11" s="226">
        <v>383452</v>
      </c>
      <c r="L11" s="226">
        <v>443351</v>
      </c>
      <c r="M11" s="226">
        <v>506792</v>
      </c>
      <c r="N11" s="227">
        <v>444888.6</v>
      </c>
    </row>
    <row r="12" spans="1:14">
      <c r="A12" s="225" t="s">
        <v>583</v>
      </c>
      <c r="B12" s="225" t="s">
        <v>584</v>
      </c>
      <c r="C12" s="225">
        <v>100</v>
      </c>
      <c r="D12" s="225" t="s">
        <v>585</v>
      </c>
      <c r="E12" s="225">
        <v>-12</v>
      </c>
      <c r="F12" s="225" t="s">
        <v>557</v>
      </c>
      <c r="G12" s="225">
        <v>6</v>
      </c>
      <c r="H12" s="225" t="s">
        <v>385</v>
      </c>
      <c r="I12" s="225" t="s">
        <v>586</v>
      </c>
      <c r="J12" s="228">
        <v>134</v>
      </c>
      <c r="K12" s="226">
        <v>416078</v>
      </c>
      <c r="L12" s="226">
        <v>465405</v>
      </c>
      <c r="M12" s="226">
        <v>538220</v>
      </c>
      <c r="N12" s="227">
        <v>484934.8</v>
      </c>
    </row>
    <row r="13" spans="1:14">
      <c r="A13" s="225" t="s">
        <v>583</v>
      </c>
      <c r="B13" s="225" t="s">
        <v>584</v>
      </c>
      <c r="C13" s="225">
        <v>100</v>
      </c>
      <c r="D13" s="225" t="s">
        <v>585</v>
      </c>
      <c r="E13" s="225">
        <v>-12</v>
      </c>
      <c r="F13" s="225" t="s">
        <v>557</v>
      </c>
      <c r="G13" s="225">
        <v>1</v>
      </c>
      <c r="H13" s="225" t="s">
        <v>384</v>
      </c>
      <c r="I13" s="225" t="s">
        <v>586</v>
      </c>
      <c r="J13" s="228">
        <v>78</v>
      </c>
      <c r="K13" s="226">
        <v>560000</v>
      </c>
      <c r="L13" s="226">
        <v>644297</v>
      </c>
      <c r="M13" s="226">
        <v>743691</v>
      </c>
      <c r="N13" s="227">
        <v>678032.8</v>
      </c>
    </row>
    <row r="14" spans="1:14">
      <c r="A14" s="225" t="s">
        <v>583</v>
      </c>
      <c r="B14" s="225" t="s">
        <v>584</v>
      </c>
      <c r="C14" s="225">
        <v>100</v>
      </c>
      <c r="D14" s="225" t="s">
        <v>585</v>
      </c>
      <c r="E14" s="225">
        <v>87</v>
      </c>
      <c r="F14" s="225" t="s">
        <v>496</v>
      </c>
      <c r="G14" s="225">
        <v>5</v>
      </c>
      <c r="H14" s="225" t="s">
        <v>349</v>
      </c>
      <c r="I14" s="225" t="s">
        <v>586</v>
      </c>
      <c r="J14" s="228">
        <v>334</v>
      </c>
      <c r="K14" s="226">
        <v>279203</v>
      </c>
      <c r="L14" s="226">
        <v>355132</v>
      </c>
      <c r="M14" s="226">
        <v>414548</v>
      </c>
      <c r="N14" s="227">
        <v>334323.20000000001</v>
      </c>
    </row>
    <row r="15" spans="1:14">
      <c r="A15" s="225" t="s">
        <v>583</v>
      </c>
      <c r="B15" s="225" t="s">
        <v>584</v>
      </c>
      <c r="C15" s="225">
        <v>100</v>
      </c>
      <c r="D15" s="225" t="s">
        <v>585</v>
      </c>
      <c r="E15" s="225">
        <v>87</v>
      </c>
      <c r="F15" s="225" t="s">
        <v>496</v>
      </c>
      <c r="G15" s="225">
        <v>4</v>
      </c>
      <c r="H15" s="225" t="s">
        <v>382</v>
      </c>
      <c r="I15" s="225" t="s">
        <v>586</v>
      </c>
      <c r="J15" s="226">
        <v>2645</v>
      </c>
      <c r="K15" s="226">
        <v>353826</v>
      </c>
      <c r="L15" s="226">
        <v>397490</v>
      </c>
      <c r="M15" s="226">
        <v>449437</v>
      </c>
      <c r="N15" s="227">
        <v>400301.9</v>
      </c>
    </row>
    <row r="16" spans="1:14">
      <c r="A16" s="225" t="s">
        <v>583</v>
      </c>
      <c r="B16" s="225" t="s">
        <v>584</v>
      </c>
      <c r="C16" s="225">
        <v>100</v>
      </c>
      <c r="D16" s="225" t="s">
        <v>585</v>
      </c>
      <c r="E16" s="225">
        <v>87</v>
      </c>
      <c r="F16" s="225" t="s">
        <v>496</v>
      </c>
      <c r="G16" s="225">
        <v>3</v>
      </c>
      <c r="H16" s="225" t="s">
        <v>383</v>
      </c>
      <c r="I16" s="225" t="s">
        <v>586</v>
      </c>
      <c r="J16" s="226">
        <v>1015</v>
      </c>
      <c r="K16" s="226">
        <v>378022</v>
      </c>
      <c r="L16" s="226">
        <v>428654</v>
      </c>
      <c r="M16" s="226">
        <v>482747</v>
      </c>
      <c r="N16" s="227">
        <v>429361.2</v>
      </c>
    </row>
    <row r="17" spans="1:14">
      <c r="A17" s="225" t="s">
        <v>583</v>
      </c>
      <c r="B17" s="225" t="s">
        <v>584</v>
      </c>
      <c r="C17" s="225">
        <v>100</v>
      </c>
      <c r="D17" s="225" t="s">
        <v>585</v>
      </c>
      <c r="E17" s="225">
        <v>87</v>
      </c>
      <c r="F17" s="225" t="s">
        <v>496</v>
      </c>
      <c r="G17" s="225">
        <v>2</v>
      </c>
      <c r="H17" s="225" t="s">
        <v>352</v>
      </c>
      <c r="I17" s="225" t="s">
        <v>586</v>
      </c>
      <c r="J17" s="228">
        <v>639</v>
      </c>
      <c r="K17" s="226">
        <v>382933</v>
      </c>
      <c r="L17" s="226">
        <v>440454</v>
      </c>
      <c r="M17" s="226">
        <v>502724</v>
      </c>
      <c r="N17" s="227">
        <v>441775.8</v>
      </c>
    </row>
    <row r="18" spans="1:14">
      <c r="A18" s="225" t="s">
        <v>583</v>
      </c>
      <c r="B18" s="225" t="s">
        <v>584</v>
      </c>
      <c r="C18" s="225">
        <v>100</v>
      </c>
      <c r="D18" s="225" t="s">
        <v>585</v>
      </c>
      <c r="E18" s="225">
        <v>87</v>
      </c>
      <c r="F18" s="225" t="s">
        <v>496</v>
      </c>
      <c r="G18" s="225">
        <v>6</v>
      </c>
      <c r="H18" s="225" t="s">
        <v>385</v>
      </c>
      <c r="I18" s="225" t="s">
        <v>586</v>
      </c>
      <c r="J18" s="228">
        <v>100</v>
      </c>
      <c r="K18" s="226">
        <v>412391</v>
      </c>
      <c r="L18" s="226">
        <v>461501</v>
      </c>
      <c r="M18" s="226">
        <v>534607</v>
      </c>
      <c r="N18" s="227">
        <v>480862.4</v>
      </c>
    </row>
    <row r="19" spans="1:14">
      <c r="A19" s="225" t="s">
        <v>583</v>
      </c>
      <c r="B19" s="225" t="s">
        <v>584</v>
      </c>
      <c r="C19" s="225">
        <v>100</v>
      </c>
      <c r="D19" s="225" t="s">
        <v>585</v>
      </c>
      <c r="E19" s="225">
        <v>87</v>
      </c>
      <c r="F19" s="225" t="s">
        <v>496</v>
      </c>
      <c r="G19" s="225">
        <v>1</v>
      </c>
      <c r="H19" s="225" t="s">
        <v>384</v>
      </c>
      <c r="I19" s="225" t="s">
        <v>586</v>
      </c>
      <c r="J19" s="228">
        <v>74</v>
      </c>
      <c r="K19" s="226">
        <v>575000</v>
      </c>
      <c r="L19" s="226">
        <v>646283</v>
      </c>
      <c r="M19" s="226">
        <v>756685</v>
      </c>
      <c r="N19" s="227">
        <v>684502.6</v>
      </c>
    </row>
    <row r="20" spans="1:14">
      <c r="A20" s="225" t="s">
        <v>583</v>
      </c>
      <c r="B20" s="225" t="s">
        <v>584</v>
      </c>
      <c r="C20" s="225">
        <v>100</v>
      </c>
      <c r="D20" s="225" t="s">
        <v>585</v>
      </c>
      <c r="E20" s="225">
        <v>88</v>
      </c>
      <c r="F20" s="225" t="s">
        <v>43</v>
      </c>
      <c r="G20" s="225">
        <v>5</v>
      </c>
      <c r="H20" s="225" t="s">
        <v>349</v>
      </c>
      <c r="I20" s="225" t="s">
        <v>586</v>
      </c>
      <c r="J20" s="228">
        <v>21</v>
      </c>
      <c r="K20" s="226">
        <v>271457</v>
      </c>
      <c r="L20" s="226">
        <v>333125</v>
      </c>
      <c r="M20" s="226">
        <v>386057</v>
      </c>
      <c r="N20" s="227">
        <v>322749.59999999998</v>
      </c>
    </row>
    <row r="21" spans="1:14">
      <c r="A21" s="225" t="s">
        <v>583</v>
      </c>
      <c r="B21" s="225" t="s">
        <v>584</v>
      </c>
      <c r="C21" s="225">
        <v>100</v>
      </c>
      <c r="D21" s="225" t="s">
        <v>585</v>
      </c>
      <c r="E21" s="225">
        <v>88</v>
      </c>
      <c r="F21" s="225" t="s">
        <v>43</v>
      </c>
      <c r="G21" s="225">
        <v>4</v>
      </c>
      <c r="H21" s="225" t="s">
        <v>382</v>
      </c>
      <c r="I21" s="225" t="s">
        <v>586</v>
      </c>
      <c r="J21" s="228">
        <v>214</v>
      </c>
      <c r="K21" s="226">
        <v>345209</v>
      </c>
      <c r="L21" s="226">
        <v>388444</v>
      </c>
      <c r="M21" s="226">
        <v>437261</v>
      </c>
      <c r="N21" s="227">
        <v>400136.9</v>
      </c>
    </row>
    <row r="22" spans="1:14">
      <c r="A22" s="225" t="s">
        <v>583</v>
      </c>
      <c r="B22" s="225" t="s">
        <v>584</v>
      </c>
      <c r="C22" s="225">
        <v>100</v>
      </c>
      <c r="D22" s="225" t="s">
        <v>585</v>
      </c>
      <c r="E22" s="225">
        <v>88</v>
      </c>
      <c r="F22" s="225" t="s">
        <v>43</v>
      </c>
      <c r="G22" s="225">
        <v>3</v>
      </c>
      <c r="H22" s="225" t="s">
        <v>383</v>
      </c>
      <c r="I22" s="225" t="s">
        <v>586</v>
      </c>
      <c r="J22" s="228">
        <v>89</v>
      </c>
      <c r="K22" s="226">
        <v>370214</v>
      </c>
      <c r="L22" s="226">
        <v>411804</v>
      </c>
      <c r="M22" s="226">
        <v>473293</v>
      </c>
      <c r="N22" s="227">
        <v>465447.9</v>
      </c>
    </row>
    <row r="23" spans="1:14">
      <c r="A23" s="225" t="s">
        <v>583</v>
      </c>
      <c r="B23" s="225" t="s">
        <v>584</v>
      </c>
      <c r="C23" s="225">
        <v>100</v>
      </c>
      <c r="D23" s="225" t="s">
        <v>585</v>
      </c>
      <c r="E23" s="225">
        <v>88</v>
      </c>
      <c r="F23" s="225" t="s">
        <v>43</v>
      </c>
      <c r="G23" s="225">
        <v>2</v>
      </c>
      <c r="H23" s="225" t="s">
        <v>352</v>
      </c>
      <c r="I23" s="225" t="s">
        <v>586</v>
      </c>
      <c r="J23" s="228">
        <v>41</v>
      </c>
      <c r="K23" s="226">
        <v>363673</v>
      </c>
      <c r="L23" s="226">
        <v>409843</v>
      </c>
      <c r="M23" s="226">
        <v>502978</v>
      </c>
      <c r="N23" s="227">
        <v>423760.3</v>
      </c>
    </row>
    <row r="24" spans="1:14">
      <c r="A24" s="225" t="s">
        <v>583</v>
      </c>
      <c r="B24" s="225" t="s">
        <v>584</v>
      </c>
      <c r="C24" s="225">
        <v>100</v>
      </c>
      <c r="D24" s="225" t="s">
        <v>585</v>
      </c>
      <c r="E24" s="225">
        <v>88</v>
      </c>
      <c r="F24" s="225" t="s">
        <v>43</v>
      </c>
      <c r="G24" s="225">
        <v>6</v>
      </c>
      <c r="H24" s="225" t="s">
        <v>385</v>
      </c>
      <c r="I24" s="225" t="s">
        <v>586</v>
      </c>
      <c r="J24" s="228">
        <v>16</v>
      </c>
      <c r="K24" s="226">
        <v>403535</v>
      </c>
      <c r="L24" s="226">
        <v>455718</v>
      </c>
      <c r="M24" s="226">
        <v>531920</v>
      </c>
      <c r="N24" s="227">
        <v>483816.6</v>
      </c>
    </row>
    <row r="25" spans="1:14">
      <c r="A25" s="225" t="s">
        <v>583</v>
      </c>
      <c r="B25" s="225" t="s">
        <v>584</v>
      </c>
      <c r="C25" s="225">
        <v>100</v>
      </c>
      <c r="D25" s="225" t="s">
        <v>585</v>
      </c>
      <c r="E25" s="225">
        <v>88</v>
      </c>
      <c r="F25" s="225" t="s">
        <v>43</v>
      </c>
      <c r="G25" s="225">
        <v>1</v>
      </c>
      <c r="H25" s="225" t="s">
        <v>384</v>
      </c>
      <c r="I25" s="225" t="s">
        <v>586</v>
      </c>
      <c r="J25" s="228">
        <v>0</v>
      </c>
      <c r="K25" s="228"/>
      <c r="L25" s="228"/>
      <c r="M25" s="228"/>
      <c r="N25" s="228"/>
    </row>
    <row r="26" spans="1:14">
      <c r="A26" s="225" t="s">
        <v>583</v>
      </c>
      <c r="B26" s="225" t="s">
        <v>584</v>
      </c>
      <c r="C26" s="225">
        <v>100</v>
      </c>
      <c r="D26" s="225" t="s">
        <v>585</v>
      </c>
      <c r="E26" s="225">
        <v>89</v>
      </c>
      <c r="F26" s="225" t="s">
        <v>497</v>
      </c>
      <c r="G26" s="225">
        <v>5</v>
      </c>
      <c r="H26" s="225" t="s">
        <v>349</v>
      </c>
      <c r="I26" s="225" t="s">
        <v>586</v>
      </c>
      <c r="J26" s="228">
        <v>18</v>
      </c>
      <c r="K26" s="226">
        <v>256240</v>
      </c>
      <c r="L26" s="226">
        <v>374530</v>
      </c>
      <c r="M26" s="226">
        <v>454605</v>
      </c>
      <c r="N26" s="227">
        <v>351914.6</v>
      </c>
    </row>
    <row r="27" spans="1:14">
      <c r="A27" s="225" t="s">
        <v>583</v>
      </c>
      <c r="B27" s="225" t="s">
        <v>584</v>
      </c>
      <c r="C27" s="225">
        <v>100</v>
      </c>
      <c r="D27" s="225" t="s">
        <v>585</v>
      </c>
      <c r="E27" s="225">
        <v>89</v>
      </c>
      <c r="F27" s="225" t="s">
        <v>497</v>
      </c>
      <c r="G27" s="225">
        <v>4</v>
      </c>
      <c r="H27" s="225" t="s">
        <v>382</v>
      </c>
      <c r="I27" s="225" t="s">
        <v>586</v>
      </c>
      <c r="J27" s="228">
        <v>423</v>
      </c>
      <c r="K27" s="226">
        <v>355120</v>
      </c>
      <c r="L27" s="226">
        <v>402937</v>
      </c>
      <c r="M27" s="226">
        <v>455937</v>
      </c>
      <c r="N27" s="227">
        <v>404055.5</v>
      </c>
    </row>
    <row r="28" spans="1:14">
      <c r="A28" s="225" t="s">
        <v>583</v>
      </c>
      <c r="B28" s="225" t="s">
        <v>584</v>
      </c>
      <c r="C28" s="225">
        <v>100</v>
      </c>
      <c r="D28" s="225" t="s">
        <v>585</v>
      </c>
      <c r="E28" s="225">
        <v>89</v>
      </c>
      <c r="F28" s="225" t="s">
        <v>497</v>
      </c>
      <c r="G28" s="225">
        <v>3</v>
      </c>
      <c r="H28" s="225" t="s">
        <v>383</v>
      </c>
      <c r="I28" s="225" t="s">
        <v>586</v>
      </c>
      <c r="J28" s="228">
        <v>179</v>
      </c>
      <c r="K28" s="226">
        <v>399636</v>
      </c>
      <c r="L28" s="226">
        <v>453828</v>
      </c>
      <c r="M28" s="226">
        <v>489277</v>
      </c>
      <c r="N28" s="227">
        <v>443883.5</v>
      </c>
    </row>
    <row r="29" spans="1:14">
      <c r="A29" s="225" t="s">
        <v>583</v>
      </c>
      <c r="B29" s="225" t="s">
        <v>584</v>
      </c>
      <c r="C29" s="225">
        <v>100</v>
      </c>
      <c r="D29" s="225" t="s">
        <v>585</v>
      </c>
      <c r="E29" s="225">
        <v>89</v>
      </c>
      <c r="F29" s="225" t="s">
        <v>497</v>
      </c>
      <c r="G29" s="225">
        <v>2</v>
      </c>
      <c r="H29" s="225" t="s">
        <v>352</v>
      </c>
      <c r="I29" s="225" t="s">
        <v>586</v>
      </c>
      <c r="J29" s="228">
        <v>83</v>
      </c>
      <c r="K29" s="226">
        <v>410222</v>
      </c>
      <c r="L29" s="226">
        <v>481867</v>
      </c>
      <c r="M29" s="226">
        <v>543361</v>
      </c>
      <c r="N29" s="227">
        <v>479290</v>
      </c>
    </row>
    <row r="30" spans="1:14">
      <c r="A30" s="225" t="s">
        <v>583</v>
      </c>
      <c r="B30" s="225" t="s">
        <v>584</v>
      </c>
      <c r="C30" s="225">
        <v>100</v>
      </c>
      <c r="D30" s="225" t="s">
        <v>585</v>
      </c>
      <c r="E30" s="225">
        <v>89</v>
      </c>
      <c r="F30" s="225" t="s">
        <v>497</v>
      </c>
      <c r="G30" s="225">
        <v>6</v>
      </c>
      <c r="H30" s="225" t="s">
        <v>385</v>
      </c>
      <c r="I30" s="225" t="s">
        <v>586</v>
      </c>
      <c r="J30" s="228">
        <v>18</v>
      </c>
      <c r="K30" s="226">
        <v>416777</v>
      </c>
      <c r="L30" s="226">
        <v>494984</v>
      </c>
      <c r="M30" s="226">
        <v>590623</v>
      </c>
      <c r="N30" s="227">
        <v>508553.1</v>
      </c>
    </row>
    <row r="31" spans="1:14">
      <c r="A31" s="225" t="s">
        <v>583</v>
      </c>
      <c r="B31" s="225" t="s">
        <v>584</v>
      </c>
      <c r="C31" s="225">
        <v>100</v>
      </c>
      <c r="D31" s="225" t="s">
        <v>585</v>
      </c>
      <c r="E31" s="225">
        <v>89</v>
      </c>
      <c r="F31" s="225" t="s">
        <v>497</v>
      </c>
      <c r="G31" s="225">
        <v>1</v>
      </c>
      <c r="H31" s="225" t="s">
        <v>384</v>
      </c>
      <c r="I31" s="225" t="s">
        <v>586</v>
      </c>
      <c r="J31" s="228">
        <v>4</v>
      </c>
      <c r="K31" s="228"/>
      <c r="L31" s="228"/>
      <c r="M31" s="228"/>
      <c r="N31" s="228"/>
    </row>
    <row r="32" spans="1:14">
      <c r="A32" s="225" t="s">
        <v>583</v>
      </c>
      <c r="B32" s="225" t="s">
        <v>584</v>
      </c>
      <c r="C32" s="225">
        <v>100</v>
      </c>
      <c r="D32" s="225" t="s">
        <v>585</v>
      </c>
      <c r="E32" s="225">
        <v>-3</v>
      </c>
      <c r="F32" s="225" t="s">
        <v>558</v>
      </c>
      <c r="G32" s="225">
        <v>5</v>
      </c>
      <c r="H32" s="225" t="s">
        <v>349</v>
      </c>
      <c r="I32" s="225" t="s">
        <v>586</v>
      </c>
      <c r="J32" s="228">
        <v>57</v>
      </c>
      <c r="K32" s="226">
        <v>242767</v>
      </c>
      <c r="L32" s="226">
        <v>299000</v>
      </c>
      <c r="M32" s="226">
        <v>351089</v>
      </c>
      <c r="N32" s="227">
        <v>285797.09999999998</v>
      </c>
    </row>
    <row r="33" spans="1:14">
      <c r="A33" s="225" t="s">
        <v>583</v>
      </c>
      <c r="B33" s="225" t="s">
        <v>584</v>
      </c>
      <c r="C33" s="225">
        <v>100</v>
      </c>
      <c r="D33" s="225" t="s">
        <v>585</v>
      </c>
      <c r="E33" s="225">
        <v>-3</v>
      </c>
      <c r="F33" s="225" t="s">
        <v>558</v>
      </c>
      <c r="G33" s="225">
        <v>4</v>
      </c>
      <c r="H33" s="225" t="s">
        <v>382</v>
      </c>
      <c r="I33" s="225" t="s">
        <v>586</v>
      </c>
      <c r="J33" s="228">
        <v>506</v>
      </c>
      <c r="K33" s="226">
        <v>260948</v>
      </c>
      <c r="L33" s="226">
        <v>316169</v>
      </c>
      <c r="M33" s="226">
        <v>413527</v>
      </c>
      <c r="N33" s="227">
        <v>354806.4</v>
      </c>
    </row>
    <row r="34" spans="1:14">
      <c r="A34" s="225" t="s">
        <v>583</v>
      </c>
      <c r="B34" s="225" t="s">
        <v>584</v>
      </c>
      <c r="C34" s="225">
        <v>100</v>
      </c>
      <c r="D34" s="225" t="s">
        <v>585</v>
      </c>
      <c r="E34" s="225">
        <v>-3</v>
      </c>
      <c r="F34" s="225" t="s">
        <v>558</v>
      </c>
      <c r="G34" s="225">
        <v>3</v>
      </c>
      <c r="H34" s="225" t="s">
        <v>383</v>
      </c>
      <c r="I34" s="225" t="s">
        <v>586</v>
      </c>
      <c r="J34" s="228">
        <v>248</v>
      </c>
      <c r="K34" s="226">
        <v>297912</v>
      </c>
      <c r="L34" s="226">
        <v>374117</v>
      </c>
      <c r="M34" s="226">
        <v>558073</v>
      </c>
      <c r="N34" s="227">
        <v>443859.1</v>
      </c>
    </row>
    <row r="35" spans="1:14">
      <c r="A35" s="225" t="s">
        <v>583</v>
      </c>
      <c r="B35" s="225" t="s">
        <v>584</v>
      </c>
      <c r="C35" s="225">
        <v>100</v>
      </c>
      <c r="D35" s="225" t="s">
        <v>585</v>
      </c>
      <c r="E35" s="225">
        <v>-3</v>
      </c>
      <c r="F35" s="225" t="s">
        <v>558</v>
      </c>
      <c r="G35" s="225">
        <v>2</v>
      </c>
      <c r="H35" s="225" t="s">
        <v>352</v>
      </c>
      <c r="I35" s="225" t="s">
        <v>586</v>
      </c>
      <c r="J35" s="228">
        <v>219</v>
      </c>
      <c r="K35" s="226">
        <v>304341</v>
      </c>
      <c r="L35" s="226">
        <v>405330</v>
      </c>
      <c r="M35" s="226">
        <v>572110</v>
      </c>
      <c r="N35" s="227">
        <v>490381.6</v>
      </c>
    </row>
    <row r="36" spans="1:14">
      <c r="A36" s="225" t="s">
        <v>583</v>
      </c>
      <c r="B36" s="225" t="s">
        <v>584</v>
      </c>
      <c r="C36" s="225">
        <v>100</v>
      </c>
      <c r="D36" s="225" t="s">
        <v>585</v>
      </c>
      <c r="E36" s="225">
        <v>-3</v>
      </c>
      <c r="F36" s="225" t="s">
        <v>558</v>
      </c>
      <c r="G36" s="225">
        <v>6</v>
      </c>
      <c r="H36" s="225" t="s">
        <v>385</v>
      </c>
      <c r="I36" s="225" t="s">
        <v>586</v>
      </c>
      <c r="J36" s="228">
        <v>24</v>
      </c>
      <c r="K36" s="226">
        <v>353809</v>
      </c>
      <c r="L36" s="226">
        <v>454141</v>
      </c>
      <c r="M36" s="226">
        <v>732105</v>
      </c>
      <c r="N36" s="227">
        <v>729652.8</v>
      </c>
    </row>
    <row r="37" spans="1:14">
      <c r="A37" s="225" t="s">
        <v>583</v>
      </c>
      <c r="B37" s="225" t="s">
        <v>584</v>
      </c>
      <c r="C37" s="225">
        <v>100</v>
      </c>
      <c r="D37" s="225" t="s">
        <v>585</v>
      </c>
      <c r="E37" s="225">
        <v>-3</v>
      </c>
      <c r="F37" s="225" t="s">
        <v>558</v>
      </c>
      <c r="G37" s="225">
        <v>1</v>
      </c>
      <c r="H37" s="225" t="s">
        <v>384</v>
      </c>
      <c r="I37" s="225" t="s">
        <v>586</v>
      </c>
      <c r="J37" s="228">
        <v>63</v>
      </c>
      <c r="K37" s="226">
        <v>500000</v>
      </c>
      <c r="L37" s="226">
        <v>626596</v>
      </c>
      <c r="M37" s="226">
        <v>751976</v>
      </c>
      <c r="N37" s="227">
        <v>623491.5</v>
      </c>
    </row>
    <row r="38" spans="1:14">
      <c r="A38" s="225" t="s">
        <v>583</v>
      </c>
      <c r="B38" s="225" t="s">
        <v>584</v>
      </c>
      <c r="C38" s="225">
        <v>100</v>
      </c>
      <c r="D38" s="225" t="s">
        <v>585</v>
      </c>
      <c r="E38" s="225">
        <v>81</v>
      </c>
      <c r="F38" s="225" t="s">
        <v>506</v>
      </c>
      <c r="G38" s="225">
        <v>5</v>
      </c>
      <c r="H38" s="225" t="s">
        <v>349</v>
      </c>
      <c r="I38" s="225" t="s">
        <v>586</v>
      </c>
      <c r="J38" s="228">
        <v>57</v>
      </c>
      <c r="K38" s="226">
        <v>242767</v>
      </c>
      <c r="L38" s="226">
        <v>299000</v>
      </c>
      <c r="M38" s="226">
        <v>351089</v>
      </c>
      <c r="N38" s="227">
        <v>285797.09999999998</v>
      </c>
    </row>
    <row r="39" spans="1:14">
      <c r="A39" s="225" t="s">
        <v>583</v>
      </c>
      <c r="B39" s="225" t="s">
        <v>584</v>
      </c>
      <c r="C39" s="225">
        <v>100</v>
      </c>
      <c r="D39" s="225" t="s">
        <v>585</v>
      </c>
      <c r="E39" s="225">
        <v>81</v>
      </c>
      <c r="F39" s="225" t="s">
        <v>506</v>
      </c>
      <c r="G39" s="225">
        <v>4</v>
      </c>
      <c r="H39" s="225" t="s">
        <v>382</v>
      </c>
      <c r="I39" s="225" t="s">
        <v>586</v>
      </c>
      <c r="J39" s="228">
        <v>453</v>
      </c>
      <c r="K39" s="226">
        <v>254271</v>
      </c>
      <c r="L39" s="226">
        <v>305063</v>
      </c>
      <c r="M39" s="226">
        <v>382763</v>
      </c>
      <c r="N39" s="227">
        <v>337993.5</v>
      </c>
    </row>
    <row r="40" spans="1:14">
      <c r="A40" s="225" t="s">
        <v>583</v>
      </c>
      <c r="B40" s="225" t="s">
        <v>584</v>
      </c>
      <c r="C40" s="225">
        <v>100</v>
      </c>
      <c r="D40" s="225" t="s">
        <v>585</v>
      </c>
      <c r="E40" s="225">
        <v>81</v>
      </c>
      <c r="F40" s="225" t="s">
        <v>506</v>
      </c>
      <c r="G40" s="225">
        <v>3</v>
      </c>
      <c r="H40" s="225" t="s">
        <v>383</v>
      </c>
      <c r="I40" s="225" t="s">
        <v>586</v>
      </c>
      <c r="J40" s="228">
        <v>217</v>
      </c>
      <c r="K40" s="226">
        <v>291037</v>
      </c>
      <c r="L40" s="226">
        <v>358910</v>
      </c>
      <c r="M40" s="226">
        <v>454474</v>
      </c>
      <c r="N40" s="227">
        <v>408137.7</v>
      </c>
    </row>
    <row r="41" spans="1:14">
      <c r="A41" s="225" t="s">
        <v>583</v>
      </c>
      <c r="B41" s="225" t="s">
        <v>584</v>
      </c>
      <c r="C41" s="225">
        <v>100</v>
      </c>
      <c r="D41" s="225" t="s">
        <v>585</v>
      </c>
      <c r="E41" s="225">
        <v>81</v>
      </c>
      <c r="F41" s="225" t="s">
        <v>506</v>
      </c>
      <c r="G41" s="225">
        <v>2</v>
      </c>
      <c r="H41" s="225" t="s">
        <v>352</v>
      </c>
      <c r="I41" s="225" t="s">
        <v>586</v>
      </c>
      <c r="J41" s="228">
        <v>197</v>
      </c>
      <c r="K41" s="226">
        <v>297419</v>
      </c>
      <c r="L41" s="226">
        <v>392909</v>
      </c>
      <c r="M41" s="226">
        <v>489868</v>
      </c>
      <c r="N41" s="227">
        <v>433752.5</v>
      </c>
    </row>
    <row r="42" spans="1:14">
      <c r="A42" s="225" t="s">
        <v>583</v>
      </c>
      <c r="B42" s="225" t="s">
        <v>584</v>
      </c>
      <c r="C42" s="225">
        <v>100</v>
      </c>
      <c r="D42" s="225" t="s">
        <v>585</v>
      </c>
      <c r="E42" s="225">
        <v>81</v>
      </c>
      <c r="F42" s="225" t="s">
        <v>506</v>
      </c>
      <c r="G42" s="225">
        <v>6</v>
      </c>
      <c r="H42" s="225" t="s">
        <v>385</v>
      </c>
      <c r="I42" s="225" t="s">
        <v>586</v>
      </c>
      <c r="J42" s="228">
        <v>19</v>
      </c>
      <c r="K42" s="226">
        <v>341027</v>
      </c>
      <c r="L42" s="226">
        <v>421298</v>
      </c>
      <c r="M42" s="226">
        <v>909962</v>
      </c>
      <c r="N42" s="227">
        <v>764219.3</v>
      </c>
    </row>
    <row r="43" spans="1:14">
      <c r="A43" s="225" t="s">
        <v>583</v>
      </c>
      <c r="B43" s="225" t="s">
        <v>584</v>
      </c>
      <c r="C43" s="225">
        <v>100</v>
      </c>
      <c r="D43" s="225" t="s">
        <v>585</v>
      </c>
      <c r="E43" s="225">
        <v>81</v>
      </c>
      <c r="F43" s="225" t="s">
        <v>506</v>
      </c>
      <c r="G43" s="225">
        <v>1</v>
      </c>
      <c r="H43" s="225" t="s">
        <v>384</v>
      </c>
      <c r="I43" s="225" t="s">
        <v>586</v>
      </c>
      <c r="J43" s="228">
        <v>59</v>
      </c>
      <c r="K43" s="226">
        <v>493552</v>
      </c>
      <c r="L43" s="226">
        <v>613725</v>
      </c>
      <c r="M43" s="226">
        <v>739329</v>
      </c>
      <c r="N43" s="227">
        <v>609868</v>
      </c>
    </row>
    <row r="44" spans="1:14">
      <c r="A44" s="225" t="s">
        <v>583</v>
      </c>
      <c r="B44" s="225" t="s">
        <v>584</v>
      </c>
      <c r="C44" s="225">
        <v>100</v>
      </c>
      <c r="D44" s="225" t="s">
        <v>585</v>
      </c>
      <c r="E44" s="225">
        <v>82</v>
      </c>
      <c r="F44" s="225" t="s">
        <v>52</v>
      </c>
      <c r="G44" s="225">
        <v>5</v>
      </c>
      <c r="H44" s="225" t="s">
        <v>349</v>
      </c>
      <c r="I44" s="225" t="s">
        <v>586</v>
      </c>
      <c r="J44" s="228">
        <v>0</v>
      </c>
      <c r="K44" s="228"/>
      <c r="L44" s="228"/>
      <c r="M44" s="228"/>
      <c r="N44" s="228"/>
    </row>
    <row r="45" spans="1:14">
      <c r="A45" s="225" t="s">
        <v>583</v>
      </c>
      <c r="B45" s="225" t="s">
        <v>584</v>
      </c>
      <c r="C45" s="225">
        <v>100</v>
      </c>
      <c r="D45" s="225" t="s">
        <v>585</v>
      </c>
      <c r="E45" s="225">
        <v>82</v>
      </c>
      <c r="F45" s="225" t="s">
        <v>52</v>
      </c>
      <c r="G45" s="225">
        <v>4</v>
      </c>
      <c r="H45" s="225" t="s">
        <v>382</v>
      </c>
      <c r="I45" s="225" t="s">
        <v>586</v>
      </c>
      <c r="J45" s="228">
        <v>53</v>
      </c>
      <c r="K45" s="226">
        <v>400931</v>
      </c>
      <c r="L45" s="226">
        <v>475327</v>
      </c>
      <c r="M45" s="226">
        <v>592382</v>
      </c>
      <c r="N45" s="227">
        <v>498509.1</v>
      </c>
    </row>
    <row r="46" spans="1:14">
      <c r="A46" s="225" t="s">
        <v>583</v>
      </c>
      <c r="B46" s="225" t="s">
        <v>584</v>
      </c>
      <c r="C46" s="225">
        <v>100</v>
      </c>
      <c r="D46" s="225" t="s">
        <v>585</v>
      </c>
      <c r="E46" s="225">
        <v>82</v>
      </c>
      <c r="F46" s="225" t="s">
        <v>52</v>
      </c>
      <c r="G46" s="225">
        <v>3</v>
      </c>
      <c r="H46" s="225" t="s">
        <v>383</v>
      </c>
      <c r="I46" s="225" t="s">
        <v>586</v>
      </c>
      <c r="J46" s="228">
        <v>31</v>
      </c>
      <c r="K46" s="226">
        <v>595134</v>
      </c>
      <c r="L46" s="226">
        <v>648708</v>
      </c>
      <c r="M46" s="226">
        <v>817623</v>
      </c>
      <c r="N46" s="227">
        <v>693908.6</v>
      </c>
    </row>
    <row r="47" spans="1:14">
      <c r="A47" s="225" t="s">
        <v>583</v>
      </c>
      <c r="B47" s="225" t="s">
        <v>584</v>
      </c>
      <c r="C47" s="225">
        <v>100</v>
      </c>
      <c r="D47" s="225" t="s">
        <v>585</v>
      </c>
      <c r="E47" s="225">
        <v>82</v>
      </c>
      <c r="F47" s="225" t="s">
        <v>52</v>
      </c>
      <c r="G47" s="225">
        <v>2</v>
      </c>
      <c r="H47" s="225" t="s">
        <v>352</v>
      </c>
      <c r="I47" s="225" t="s">
        <v>586</v>
      </c>
      <c r="J47" s="228">
        <v>22</v>
      </c>
      <c r="K47" s="226">
        <v>582147</v>
      </c>
      <c r="L47" s="226">
        <v>865531</v>
      </c>
      <c r="M47" s="226">
        <v>1087000</v>
      </c>
      <c r="N47" s="227">
        <v>997469.8</v>
      </c>
    </row>
    <row r="48" spans="1:14">
      <c r="A48" s="225" t="s">
        <v>583</v>
      </c>
      <c r="B48" s="225" t="s">
        <v>584</v>
      </c>
      <c r="C48" s="225">
        <v>100</v>
      </c>
      <c r="D48" s="225" t="s">
        <v>585</v>
      </c>
      <c r="E48" s="225">
        <v>82</v>
      </c>
      <c r="F48" s="225" t="s">
        <v>52</v>
      </c>
      <c r="G48" s="225">
        <v>6</v>
      </c>
      <c r="H48" s="225" t="s">
        <v>385</v>
      </c>
      <c r="I48" s="225" t="s">
        <v>586</v>
      </c>
      <c r="J48" s="228">
        <v>5</v>
      </c>
      <c r="K48" s="226">
        <v>479774</v>
      </c>
      <c r="L48" s="226">
        <v>567744</v>
      </c>
      <c r="M48" s="226">
        <v>732105</v>
      </c>
      <c r="N48" s="227">
        <v>598300.19999999995</v>
      </c>
    </row>
    <row r="49" spans="1:14">
      <c r="A49" s="225" t="s">
        <v>583</v>
      </c>
      <c r="B49" s="225" t="s">
        <v>584</v>
      </c>
      <c r="C49" s="225">
        <v>100</v>
      </c>
      <c r="D49" s="225" t="s">
        <v>585</v>
      </c>
      <c r="E49" s="225">
        <v>82</v>
      </c>
      <c r="F49" s="225" t="s">
        <v>52</v>
      </c>
      <c r="G49" s="225">
        <v>1</v>
      </c>
      <c r="H49" s="225" t="s">
        <v>384</v>
      </c>
      <c r="I49" s="225" t="s">
        <v>586</v>
      </c>
      <c r="J49" s="228">
        <v>4</v>
      </c>
      <c r="K49" s="228"/>
      <c r="L49" s="228"/>
      <c r="M49" s="228"/>
      <c r="N49" s="228"/>
    </row>
    <row r="50" spans="1:14">
      <c r="A50" s="225" t="s">
        <v>583</v>
      </c>
      <c r="B50" s="225" t="s">
        <v>584</v>
      </c>
      <c r="C50" s="225">
        <v>100</v>
      </c>
      <c r="D50" s="225" t="s">
        <v>585</v>
      </c>
      <c r="E50" s="225">
        <v>-15</v>
      </c>
      <c r="F50" s="225" t="s">
        <v>559</v>
      </c>
      <c r="G50" s="225">
        <v>5</v>
      </c>
      <c r="H50" s="225" t="s">
        <v>349</v>
      </c>
      <c r="I50" s="225" t="s">
        <v>586</v>
      </c>
      <c r="J50" s="228">
        <v>114</v>
      </c>
      <c r="K50" s="226">
        <v>198900</v>
      </c>
      <c r="L50" s="226">
        <v>226885</v>
      </c>
      <c r="M50" s="226">
        <v>263852</v>
      </c>
      <c r="N50" s="227">
        <v>230506.1</v>
      </c>
    </row>
    <row r="51" spans="1:14">
      <c r="A51" s="225" t="s">
        <v>583</v>
      </c>
      <c r="B51" s="225" t="s">
        <v>584</v>
      </c>
      <c r="C51" s="225">
        <v>100</v>
      </c>
      <c r="D51" s="225" t="s">
        <v>585</v>
      </c>
      <c r="E51" s="225">
        <v>-15</v>
      </c>
      <c r="F51" s="225" t="s">
        <v>559</v>
      </c>
      <c r="G51" s="225">
        <v>4</v>
      </c>
      <c r="H51" s="225" t="s">
        <v>382</v>
      </c>
      <c r="I51" s="225" t="s">
        <v>586</v>
      </c>
      <c r="J51" s="226">
        <v>1815</v>
      </c>
      <c r="K51" s="226">
        <v>195000</v>
      </c>
      <c r="L51" s="226">
        <v>215900</v>
      </c>
      <c r="M51" s="226">
        <v>246053</v>
      </c>
      <c r="N51" s="227">
        <v>226419.6</v>
      </c>
    </row>
    <row r="52" spans="1:14">
      <c r="A52" s="225" t="s">
        <v>583</v>
      </c>
      <c r="B52" s="225" t="s">
        <v>584</v>
      </c>
      <c r="C52" s="225">
        <v>100</v>
      </c>
      <c r="D52" s="225" t="s">
        <v>585</v>
      </c>
      <c r="E52" s="225">
        <v>-15</v>
      </c>
      <c r="F52" s="225" t="s">
        <v>559</v>
      </c>
      <c r="G52" s="225">
        <v>3</v>
      </c>
      <c r="H52" s="225" t="s">
        <v>383</v>
      </c>
      <c r="I52" s="225" t="s">
        <v>586</v>
      </c>
      <c r="J52" s="228">
        <v>623</v>
      </c>
      <c r="K52" s="226">
        <v>207081</v>
      </c>
      <c r="L52" s="226">
        <v>231276</v>
      </c>
      <c r="M52" s="226">
        <v>259760</v>
      </c>
      <c r="N52" s="227">
        <v>238573.1</v>
      </c>
    </row>
    <row r="53" spans="1:14">
      <c r="A53" s="225" t="s">
        <v>583</v>
      </c>
      <c r="B53" s="225" t="s">
        <v>584</v>
      </c>
      <c r="C53" s="225">
        <v>100</v>
      </c>
      <c r="D53" s="225" t="s">
        <v>585</v>
      </c>
      <c r="E53" s="225">
        <v>-15</v>
      </c>
      <c r="F53" s="225" t="s">
        <v>559</v>
      </c>
      <c r="G53" s="225">
        <v>2</v>
      </c>
      <c r="H53" s="225" t="s">
        <v>352</v>
      </c>
      <c r="I53" s="225" t="s">
        <v>586</v>
      </c>
      <c r="J53" s="228">
        <v>348</v>
      </c>
      <c r="K53" s="226">
        <v>224256</v>
      </c>
      <c r="L53" s="226">
        <v>251302</v>
      </c>
      <c r="M53" s="226">
        <v>288846</v>
      </c>
      <c r="N53" s="227">
        <v>259983.8</v>
      </c>
    </row>
    <row r="54" spans="1:14">
      <c r="A54" s="225" t="s">
        <v>583</v>
      </c>
      <c r="B54" s="225" t="s">
        <v>584</v>
      </c>
      <c r="C54" s="225">
        <v>100</v>
      </c>
      <c r="D54" s="225" t="s">
        <v>585</v>
      </c>
      <c r="E54" s="225">
        <v>-15</v>
      </c>
      <c r="F54" s="225" t="s">
        <v>559</v>
      </c>
      <c r="G54" s="225">
        <v>6</v>
      </c>
      <c r="H54" s="225" t="s">
        <v>385</v>
      </c>
      <c r="I54" s="225" t="s">
        <v>586</v>
      </c>
      <c r="J54" s="228">
        <v>29</v>
      </c>
      <c r="K54" s="226">
        <v>228317</v>
      </c>
      <c r="L54" s="226">
        <v>247206</v>
      </c>
      <c r="M54" s="226">
        <v>310613</v>
      </c>
      <c r="N54" s="227">
        <v>272144.8</v>
      </c>
    </row>
    <row r="55" spans="1:14">
      <c r="A55" s="225" t="s">
        <v>583</v>
      </c>
      <c r="B55" s="225" t="s">
        <v>584</v>
      </c>
      <c r="C55" s="225">
        <v>100</v>
      </c>
      <c r="D55" s="225" t="s">
        <v>585</v>
      </c>
      <c r="E55" s="225">
        <v>-15</v>
      </c>
      <c r="F55" s="225" t="s">
        <v>559</v>
      </c>
      <c r="G55" s="225">
        <v>1</v>
      </c>
      <c r="H55" s="225" t="s">
        <v>384</v>
      </c>
      <c r="I55" s="225" t="s">
        <v>586</v>
      </c>
      <c r="J55" s="228">
        <v>95</v>
      </c>
      <c r="K55" s="226">
        <v>310593</v>
      </c>
      <c r="L55" s="226">
        <v>361600</v>
      </c>
      <c r="M55" s="226">
        <v>416033</v>
      </c>
      <c r="N55" s="227">
        <v>367106.4</v>
      </c>
    </row>
    <row r="56" spans="1:14">
      <c r="A56" s="225" t="s">
        <v>583</v>
      </c>
      <c r="B56" s="225" t="s">
        <v>584</v>
      </c>
      <c r="C56" s="225">
        <v>100</v>
      </c>
      <c r="D56" s="225" t="s">
        <v>585</v>
      </c>
      <c r="E56" s="225">
        <v>99</v>
      </c>
      <c r="F56" s="225" t="s">
        <v>513</v>
      </c>
      <c r="G56" s="225">
        <v>5</v>
      </c>
      <c r="H56" s="225" t="s">
        <v>349</v>
      </c>
      <c r="I56" s="225" t="s">
        <v>586</v>
      </c>
      <c r="J56" s="228">
        <v>111</v>
      </c>
      <c r="K56" s="226">
        <v>198900</v>
      </c>
      <c r="L56" s="226">
        <v>228151</v>
      </c>
      <c r="M56" s="226">
        <v>263852</v>
      </c>
      <c r="N56" s="227">
        <v>230666.1</v>
      </c>
    </row>
    <row r="57" spans="1:14">
      <c r="A57" s="225" t="s">
        <v>583</v>
      </c>
      <c r="B57" s="225" t="s">
        <v>584</v>
      </c>
      <c r="C57" s="225">
        <v>100</v>
      </c>
      <c r="D57" s="225" t="s">
        <v>585</v>
      </c>
      <c r="E57" s="225">
        <v>99</v>
      </c>
      <c r="F57" s="225" t="s">
        <v>513</v>
      </c>
      <c r="G57" s="225">
        <v>4</v>
      </c>
      <c r="H57" s="225" t="s">
        <v>382</v>
      </c>
      <c r="I57" s="225" t="s">
        <v>586</v>
      </c>
      <c r="J57" s="226">
        <v>1654</v>
      </c>
      <c r="K57" s="226">
        <v>195000</v>
      </c>
      <c r="L57" s="226">
        <v>215260</v>
      </c>
      <c r="M57" s="226">
        <v>245175</v>
      </c>
      <c r="N57" s="227">
        <v>225475.5</v>
      </c>
    </row>
    <row r="58" spans="1:14">
      <c r="A58" s="225" t="s">
        <v>583</v>
      </c>
      <c r="B58" s="225" t="s">
        <v>584</v>
      </c>
      <c r="C58" s="225">
        <v>100</v>
      </c>
      <c r="D58" s="225" t="s">
        <v>585</v>
      </c>
      <c r="E58" s="225">
        <v>99</v>
      </c>
      <c r="F58" s="225" t="s">
        <v>513</v>
      </c>
      <c r="G58" s="225">
        <v>3</v>
      </c>
      <c r="H58" s="225" t="s">
        <v>383</v>
      </c>
      <c r="I58" s="225" t="s">
        <v>586</v>
      </c>
      <c r="J58" s="228">
        <v>568</v>
      </c>
      <c r="K58" s="226">
        <v>207750</v>
      </c>
      <c r="L58" s="226">
        <v>231522</v>
      </c>
      <c r="M58" s="226">
        <v>258137</v>
      </c>
      <c r="N58" s="227">
        <v>236435</v>
      </c>
    </row>
    <row r="59" spans="1:14">
      <c r="A59" s="225" t="s">
        <v>583</v>
      </c>
      <c r="B59" s="225" t="s">
        <v>584</v>
      </c>
      <c r="C59" s="225">
        <v>100</v>
      </c>
      <c r="D59" s="225" t="s">
        <v>585</v>
      </c>
      <c r="E59" s="225">
        <v>99</v>
      </c>
      <c r="F59" s="225" t="s">
        <v>513</v>
      </c>
      <c r="G59" s="225">
        <v>2</v>
      </c>
      <c r="H59" s="225" t="s">
        <v>352</v>
      </c>
      <c r="I59" s="225" t="s">
        <v>586</v>
      </c>
      <c r="J59" s="228">
        <v>312</v>
      </c>
      <c r="K59" s="226">
        <v>223916</v>
      </c>
      <c r="L59" s="226">
        <v>250813</v>
      </c>
      <c r="M59" s="226">
        <v>284468</v>
      </c>
      <c r="N59" s="227">
        <v>257443.3</v>
      </c>
    </row>
    <row r="60" spans="1:14">
      <c r="A60" s="225" t="s">
        <v>583</v>
      </c>
      <c r="B60" s="225" t="s">
        <v>584</v>
      </c>
      <c r="C60" s="225">
        <v>100</v>
      </c>
      <c r="D60" s="225" t="s">
        <v>585</v>
      </c>
      <c r="E60" s="225">
        <v>99</v>
      </c>
      <c r="F60" s="225" t="s">
        <v>513</v>
      </c>
      <c r="G60" s="225">
        <v>6</v>
      </c>
      <c r="H60" s="225" t="s">
        <v>385</v>
      </c>
      <c r="I60" s="225" t="s">
        <v>586</v>
      </c>
      <c r="J60" s="228">
        <v>24</v>
      </c>
      <c r="K60" s="226">
        <v>228317</v>
      </c>
      <c r="L60" s="226">
        <v>245557</v>
      </c>
      <c r="M60" s="226">
        <v>298587</v>
      </c>
      <c r="N60" s="227">
        <v>272635.09999999998</v>
      </c>
    </row>
    <row r="61" spans="1:14">
      <c r="A61" s="225" t="s">
        <v>583</v>
      </c>
      <c r="B61" s="225" t="s">
        <v>584</v>
      </c>
      <c r="C61" s="225">
        <v>100</v>
      </c>
      <c r="D61" s="225" t="s">
        <v>585</v>
      </c>
      <c r="E61" s="225">
        <v>99</v>
      </c>
      <c r="F61" s="225" t="s">
        <v>513</v>
      </c>
      <c r="G61" s="225">
        <v>1</v>
      </c>
      <c r="H61" s="225" t="s">
        <v>384</v>
      </c>
      <c r="I61" s="225" t="s">
        <v>586</v>
      </c>
      <c r="J61" s="228">
        <v>92</v>
      </c>
      <c r="K61" s="226">
        <v>312695</v>
      </c>
      <c r="L61" s="226">
        <v>361430</v>
      </c>
      <c r="M61" s="226">
        <v>415957</v>
      </c>
      <c r="N61" s="227">
        <v>366730.2</v>
      </c>
    </row>
    <row r="62" spans="1:14">
      <c r="A62" s="225" t="s">
        <v>583</v>
      </c>
      <c r="B62" s="225" t="s">
        <v>584</v>
      </c>
      <c r="C62" s="225">
        <v>100</v>
      </c>
      <c r="D62" s="225" t="s">
        <v>585</v>
      </c>
      <c r="E62" s="225">
        <v>100</v>
      </c>
      <c r="F62" s="225" t="s">
        <v>58</v>
      </c>
      <c r="G62" s="225">
        <v>5</v>
      </c>
      <c r="H62" s="225" t="s">
        <v>349</v>
      </c>
      <c r="I62" s="225" t="s">
        <v>586</v>
      </c>
      <c r="J62" s="228">
        <v>1</v>
      </c>
      <c r="K62" s="228"/>
      <c r="L62" s="228"/>
      <c r="M62" s="228"/>
      <c r="N62" s="228"/>
    </row>
    <row r="63" spans="1:14">
      <c r="A63" s="225" t="s">
        <v>583</v>
      </c>
      <c r="B63" s="225" t="s">
        <v>584</v>
      </c>
      <c r="C63" s="225">
        <v>100</v>
      </c>
      <c r="D63" s="225" t="s">
        <v>585</v>
      </c>
      <c r="E63" s="225">
        <v>100</v>
      </c>
      <c r="F63" s="225" t="s">
        <v>58</v>
      </c>
      <c r="G63" s="225">
        <v>4</v>
      </c>
      <c r="H63" s="225" t="s">
        <v>382</v>
      </c>
      <c r="I63" s="225" t="s">
        <v>586</v>
      </c>
      <c r="J63" s="228">
        <v>81</v>
      </c>
      <c r="K63" s="226">
        <v>194944</v>
      </c>
      <c r="L63" s="226">
        <v>229814</v>
      </c>
      <c r="M63" s="226">
        <v>263672</v>
      </c>
      <c r="N63" s="227">
        <v>250631.5</v>
      </c>
    </row>
    <row r="64" spans="1:14">
      <c r="A64" s="225" t="s">
        <v>583</v>
      </c>
      <c r="B64" s="225" t="s">
        <v>584</v>
      </c>
      <c r="C64" s="225">
        <v>100</v>
      </c>
      <c r="D64" s="225" t="s">
        <v>585</v>
      </c>
      <c r="E64" s="225">
        <v>100</v>
      </c>
      <c r="F64" s="225" t="s">
        <v>58</v>
      </c>
      <c r="G64" s="225">
        <v>3</v>
      </c>
      <c r="H64" s="225" t="s">
        <v>383</v>
      </c>
      <c r="I64" s="225" t="s">
        <v>586</v>
      </c>
      <c r="J64" s="228">
        <v>27</v>
      </c>
      <c r="K64" s="226">
        <v>220453</v>
      </c>
      <c r="L64" s="226">
        <v>255397</v>
      </c>
      <c r="M64" s="226">
        <v>308730</v>
      </c>
      <c r="N64" s="227">
        <v>287874.40000000002</v>
      </c>
    </row>
    <row r="65" spans="1:14">
      <c r="A65" s="225" t="s">
        <v>583</v>
      </c>
      <c r="B65" s="225" t="s">
        <v>584</v>
      </c>
      <c r="C65" s="225">
        <v>100</v>
      </c>
      <c r="D65" s="225" t="s">
        <v>585</v>
      </c>
      <c r="E65" s="225">
        <v>100</v>
      </c>
      <c r="F65" s="225" t="s">
        <v>58</v>
      </c>
      <c r="G65" s="225">
        <v>2</v>
      </c>
      <c r="H65" s="225" t="s">
        <v>352</v>
      </c>
      <c r="I65" s="225" t="s">
        <v>586</v>
      </c>
      <c r="J65" s="228">
        <v>21</v>
      </c>
      <c r="K65" s="226">
        <v>261748</v>
      </c>
      <c r="L65" s="226">
        <v>296871</v>
      </c>
      <c r="M65" s="226">
        <v>344795</v>
      </c>
      <c r="N65" s="227">
        <v>301181.2</v>
      </c>
    </row>
    <row r="66" spans="1:14">
      <c r="A66" s="225" t="s">
        <v>583</v>
      </c>
      <c r="B66" s="225" t="s">
        <v>584</v>
      </c>
      <c r="C66" s="225">
        <v>100</v>
      </c>
      <c r="D66" s="225" t="s">
        <v>585</v>
      </c>
      <c r="E66" s="225">
        <v>100</v>
      </c>
      <c r="F66" s="225" t="s">
        <v>58</v>
      </c>
      <c r="G66" s="225">
        <v>6</v>
      </c>
      <c r="H66" s="225" t="s">
        <v>385</v>
      </c>
      <c r="I66" s="225" t="s">
        <v>586</v>
      </c>
      <c r="J66" s="228">
        <v>2</v>
      </c>
      <c r="K66" s="228"/>
      <c r="L66" s="228"/>
      <c r="M66" s="228"/>
      <c r="N66" s="228"/>
    </row>
    <row r="67" spans="1:14">
      <c r="A67" s="225" t="s">
        <v>583</v>
      </c>
      <c r="B67" s="225" t="s">
        <v>584</v>
      </c>
      <c r="C67" s="225">
        <v>100</v>
      </c>
      <c r="D67" s="225" t="s">
        <v>585</v>
      </c>
      <c r="E67" s="225">
        <v>100</v>
      </c>
      <c r="F67" s="225" t="s">
        <v>58</v>
      </c>
      <c r="G67" s="225">
        <v>1</v>
      </c>
      <c r="H67" s="225" t="s">
        <v>384</v>
      </c>
      <c r="I67" s="225" t="s">
        <v>586</v>
      </c>
      <c r="J67" s="228">
        <v>0</v>
      </c>
      <c r="K67" s="228"/>
      <c r="L67" s="228"/>
      <c r="M67" s="228"/>
      <c r="N67" s="228"/>
    </row>
    <row r="68" spans="1:14">
      <c r="A68" s="225" t="s">
        <v>583</v>
      </c>
      <c r="B68" s="225" t="s">
        <v>584</v>
      </c>
      <c r="C68" s="225">
        <v>100</v>
      </c>
      <c r="D68" s="225" t="s">
        <v>585</v>
      </c>
      <c r="E68" s="225">
        <v>101</v>
      </c>
      <c r="F68" s="225" t="s">
        <v>514</v>
      </c>
      <c r="G68" s="225">
        <v>5</v>
      </c>
      <c r="H68" s="225" t="s">
        <v>349</v>
      </c>
      <c r="I68" s="225" t="s">
        <v>586</v>
      </c>
      <c r="J68" s="228">
        <v>2</v>
      </c>
      <c r="K68" s="228"/>
      <c r="L68" s="228"/>
      <c r="M68" s="228"/>
      <c r="N68" s="228"/>
    </row>
    <row r="69" spans="1:14">
      <c r="A69" s="225" t="s">
        <v>583</v>
      </c>
      <c r="B69" s="225" t="s">
        <v>584</v>
      </c>
      <c r="C69" s="225">
        <v>100</v>
      </c>
      <c r="D69" s="225" t="s">
        <v>585</v>
      </c>
      <c r="E69" s="225">
        <v>101</v>
      </c>
      <c r="F69" s="225" t="s">
        <v>514</v>
      </c>
      <c r="G69" s="225">
        <v>4</v>
      </c>
      <c r="H69" s="225" t="s">
        <v>382</v>
      </c>
      <c r="I69" s="225" t="s">
        <v>586</v>
      </c>
      <c r="J69" s="228">
        <v>80</v>
      </c>
      <c r="K69" s="226">
        <v>189821</v>
      </c>
      <c r="L69" s="226">
        <v>216478</v>
      </c>
      <c r="M69" s="226">
        <v>248434</v>
      </c>
      <c r="N69" s="227">
        <v>221424.5</v>
      </c>
    </row>
    <row r="70" spans="1:14">
      <c r="A70" s="225" t="s">
        <v>583</v>
      </c>
      <c r="B70" s="225" t="s">
        <v>584</v>
      </c>
      <c r="C70" s="225">
        <v>100</v>
      </c>
      <c r="D70" s="225" t="s">
        <v>585</v>
      </c>
      <c r="E70" s="225">
        <v>101</v>
      </c>
      <c r="F70" s="225" t="s">
        <v>514</v>
      </c>
      <c r="G70" s="225">
        <v>3</v>
      </c>
      <c r="H70" s="225" t="s">
        <v>383</v>
      </c>
      <c r="I70" s="225" t="s">
        <v>586</v>
      </c>
      <c r="J70" s="228">
        <v>28</v>
      </c>
      <c r="K70" s="226">
        <v>196620</v>
      </c>
      <c r="L70" s="226">
        <v>214519</v>
      </c>
      <c r="M70" s="226">
        <v>250317</v>
      </c>
      <c r="N70" s="227">
        <v>234403.7</v>
      </c>
    </row>
    <row r="71" spans="1:14">
      <c r="A71" s="225" t="s">
        <v>583</v>
      </c>
      <c r="B71" s="225" t="s">
        <v>584</v>
      </c>
      <c r="C71" s="225">
        <v>100</v>
      </c>
      <c r="D71" s="225" t="s">
        <v>585</v>
      </c>
      <c r="E71" s="225">
        <v>101</v>
      </c>
      <c r="F71" s="225" t="s">
        <v>514</v>
      </c>
      <c r="G71" s="225">
        <v>2</v>
      </c>
      <c r="H71" s="225" t="s">
        <v>352</v>
      </c>
      <c r="I71" s="225" t="s">
        <v>586</v>
      </c>
      <c r="J71" s="228">
        <v>15</v>
      </c>
      <c r="K71" s="226">
        <v>202723</v>
      </c>
      <c r="L71" s="226">
        <v>249296</v>
      </c>
      <c r="M71" s="226">
        <v>265000</v>
      </c>
      <c r="N71" s="227">
        <v>255150.3</v>
      </c>
    </row>
    <row r="72" spans="1:14">
      <c r="A72" s="225" t="s">
        <v>583</v>
      </c>
      <c r="B72" s="225" t="s">
        <v>584</v>
      </c>
      <c r="C72" s="225">
        <v>100</v>
      </c>
      <c r="D72" s="225" t="s">
        <v>585</v>
      </c>
      <c r="E72" s="225">
        <v>101</v>
      </c>
      <c r="F72" s="225" t="s">
        <v>514</v>
      </c>
      <c r="G72" s="225">
        <v>6</v>
      </c>
      <c r="H72" s="225" t="s">
        <v>385</v>
      </c>
      <c r="I72" s="225" t="s">
        <v>586</v>
      </c>
      <c r="J72" s="228">
        <v>3</v>
      </c>
      <c r="K72" s="228"/>
      <c r="L72" s="228"/>
      <c r="M72" s="228"/>
      <c r="N72" s="228"/>
    </row>
    <row r="73" spans="1:14">
      <c r="A73" s="225" t="s">
        <v>583</v>
      </c>
      <c r="B73" s="225" t="s">
        <v>584</v>
      </c>
      <c r="C73" s="225">
        <v>100</v>
      </c>
      <c r="D73" s="225" t="s">
        <v>585</v>
      </c>
      <c r="E73" s="225">
        <v>101</v>
      </c>
      <c r="F73" s="225" t="s">
        <v>514</v>
      </c>
      <c r="G73" s="225">
        <v>1</v>
      </c>
      <c r="H73" s="225" t="s">
        <v>384</v>
      </c>
      <c r="I73" s="225" t="s">
        <v>586</v>
      </c>
      <c r="J73" s="228">
        <v>3</v>
      </c>
      <c r="K73" s="228"/>
      <c r="L73" s="228"/>
      <c r="M73" s="228"/>
      <c r="N73" s="228"/>
    </row>
    <row r="74" spans="1:14">
      <c r="A74" s="225" t="s">
        <v>583</v>
      </c>
      <c r="B74" s="225" t="s">
        <v>584</v>
      </c>
      <c r="C74" s="225">
        <v>100</v>
      </c>
      <c r="D74" s="225" t="s">
        <v>585</v>
      </c>
      <c r="E74" s="225">
        <v>-4</v>
      </c>
      <c r="F74" s="225" t="s">
        <v>560</v>
      </c>
      <c r="G74" s="225">
        <v>5</v>
      </c>
      <c r="H74" s="225" t="s">
        <v>349</v>
      </c>
      <c r="I74" s="225" t="s">
        <v>586</v>
      </c>
      <c r="J74" s="226">
        <v>1795</v>
      </c>
      <c r="K74" s="226">
        <v>170000</v>
      </c>
      <c r="L74" s="226">
        <v>217688</v>
      </c>
      <c r="M74" s="226">
        <v>265100</v>
      </c>
      <c r="N74" s="227">
        <v>220667.7</v>
      </c>
    </row>
    <row r="75" spans="1:14">
      <c r="A75" s="225" t="s">
        <v>583</v>
      </c>
      <c r="B75" s="225" t="s">
        <v>584</v>
      </c>
      <c r="C75" s="225">
        <v>100</v>
      </c>
      <c r="D75" s="225" t="s">
        <v>585</v>
      </c>
      <c r="E75" s="225">
        <v>-4</v>
      </c>
      <c r="F75" s="225" t="s">
        <v>560</v>
      </c>
      <c r="G75" s="225">
        <v>4</v>
      </c>
      <c r="H75" s="225" t="s">
        <v>382</v>
      </c>
      <c r="I75" s="225" t="s">
        <v>586</v>
      </c>
      <c r="J75" s="226">
        <v>12919</v>
      </c>
      <c r="K75" s="226">
        <v>208597</v>
      </c>
      <c r="L75" s="226">
        <v>250040</v>
      </c>
      <c r="M75" s="226">
        <v>317879</v>
      </c>
      <c r="N75" s="227">
        <v>278255.7</v>
      </c>
    </row>
    <row r="76" spans="1:14">
      <c r="A76" s="225" t="s">
        <v>583</v>
      </c>
      <c r="B76" s="225" t="s">
        <v>584</v>
      </c>
      <c r="C76" s="225">
        <v>100</v>
      </c>
      <c r="D76" s="225" t="s">
        <v>585</v>
      </c>
      <c r="E76" s="225">
        <v>-4</v>
      </c>
      <c r="F76" s="225" t="s">
        <v>560</v>
      </c>
      <c r="G76" s="225">
        <v>3</v>
      </c>
      <c r="H76" s="225" t="s">
        <v>383</v>
      </c>
      <c r="I76" s="225" t="s">
        <v>586</v>
      </c>
      <c r="J76" s="226">
        <v>5761</v>
      </c>
      <c r="K76" s="226">
        <v>230842</v>
      </c>
      <c r="L76" s="226">
        <v>282816</v>
      </c>
      <c r="M76" s="226">
        <v>370000</v>
      </c>
      <c r="N76" s="227">
        <v>317105.40000000002</v>
      </c>
    </row>
    <row r="77" spans="1:14">
      <c r="A77" s="225" t="s">
        <v>583</v>
      </c>
      <c r="B77" s="225" t="s">
        <v>584</v>
      </c>
      <c r="C77" s="225">
        <v>100</v>
      </c>
      <c r="D77" s="225" t="s">
        <v>585</v>
      </c>
      <c r="E77" s="225">
        <v>-4</v>
      </c>
      <c r="F77" s="225" t="s">
        <v>560</v>
      </c>
      <c r="G77" s="225">
        <v>2</v>
      </c>
      <c r="H77" s="225" t="s">
        <v>352</v>
      </c>
      <c r="I77" s="225" t="s">
        <v>586</v>
      </c>
      <c r="J77" s="226">
        <v>4973</v>
      </c>
      <c r="K77" s="226">
        <v>264190</v>
      </c>
      <c r="L77" s="226">
        <v>330703</v>
      </c>
      <c r="M77" s="226">
        <v>429836</v>
      </c>
      <c r="N77" s="227">
        <v>367423.1</v>
      </c>
    </row>
    <row r="78" spans="1:14">
      <c r="A78" s="225" t="s">
        <v>583</v>
      </c>
      <c r="B78" s="225" t="s">
        <v>584</v>
      </c>
      <c r="C78" s="225">
        <v>100</v>
      </c>
      <c r="D78" s="225" t="s">
        <v>585</v>
      </c>
      <c r="E78" s="225">
        <v>-4</v>
      </c>
      <c r="F78" s="225" t="s">
        <v>560</v>
      </c>
      <c r="G78" s="225">
        <v>6</v>
      </c>
      <c r="H78" s="225" t="s">
        <v>385</v>
      </c>
      <c r="I78" s="225" t="s">
        <v>586</v>
      </c>
      <c r="J78" s="228">
        <v>674</v>
      </c>
      <c r="K78" s="226">
        <v>313132</v>
      </c>
      <c r="L78" s="226">
        <v>382453</v>
      </c>
      <c r="M78" s="226">
        <v>481692</v>
      </c>
      <c r="N78" s="227">
        <v>421529</v>
      </c>
    </row>
    <row r="79" spans="1:14">
      <c r="A79" s="225" t="s">
        <v>583</v>
      </c>
      <c r="B79" s="225" t="s">
        <v>584</v>
      </c>
      <c r="C79" s="225">
        <v>100</v>
      </c>
      <c r="D79" s="225" t="s">
        <v>585</v>
      </c>
      <c r="E79" s="225">
        <v>-4</v>
      </c>
      <c r="F79" s="225" t="s">
        <v>560</v>
      </c>
      <c r="G79" s="225">
        <v>1</v>
      </c>
      <c r="H79" s="225" t="s">
        <v>384</v>
      </c>
      <c r="I79" s="225" t="s">
        <v>586</v>
      </c>
      <c r="J79" s="228">
        <v>155</v>
      </c>
      <c r="K79" s="226">
        <v>446925</v>
      </c>
      <c r="L79" s="226">
        <v>606250</v>
      </c>
      <c r="M79" s="226">
        <v>800000</v>
      </c>
      <c r="N79" s="227">
        <v>627950.5</v>
      </c>
    </row>
    <row r="80" spans="1:14">
      <c r="A80" s="225" t="s">
        <v>583</v>
      </c>
      <c r="B80" s="225" t="s">
        <v>584</v>
      </c>
      <c r="C80" s="225">
        <v>100</v>
      </c>
      <c r="D80" s="225" t="s">
        <v>585</v>
      </c>
      <c r="E80" s="225">
        <v>23</v>
      </c>
      <c r="F80" s="225" t="s">
        <v>494</v>
      </c>
      <c r="G80" s="225">
        <v>5</v>
      </c>
      <c r="H80" s="225" t="s">
        <v>349</v>
      </c>
      <c r="I80" s="225" t="s">
        <v>586</v>
      </c>
      <c r="J80" s="228">
        <v>16</v>
      </c>
      <c r="K80" s="226">
        <v>134033</v>
      </c>
      <c r="L80" s="226">
        <v>158232</v>
      </c>
      <c r="M80" s="226">
        <v>189837</v>
      </c>
      <c r="N80" s="227">
        <v>168104.2</v>
      </c>
    </row>
    <row r="81" spans="1:14">
      <c r="A81" s="225" t="s">
        <v>583</v>
      </c>
      <c r="B81" s="225" t="s">
        <v>584</v>
      </c>
      <c r="C81" s="225">
        <v>100</v>
      </c>
      <c r="D81" s="225" t="s">
        <v>585</v>
      </c>
      <c r="E81" s="225">
        <v>23</v>
      </c>
      <c r="F81" s="225" t="s">
        <v>494</v>
      </c>
      <c r="G81" s="225">
        <v>4</v>
      </c>
      <c r="H81" s="225" t="s">
        <v>382</v>
      </c>
      <c r="I81" s="225" t="s">
        <v>586</v>
      </c>
      <c r="J81" s="228">
        <v>125</v>
      </c>
      <c r="K81" s="226">
        <v>172407</v>
      </c>
      <c r="L81" s="226">
        <v>203181</v>
      </c>
      <c r="M81" s="226">
        <v>237847</v>
      </c>
      <c r="N81" s="227">
        <v>212281.4</v>
      </c>
    </row>
    <row r="82" spans="1:14">
      <c r="A82" s="225" t="s">
        <v>583</v>
      </c>
      <c r="B82" s="225" t="s">
        <v>584</v>
      </c>
      <c r="C82" s="225">
        <v>100</v>
      </c>
      <c r="D82" s="225" t="s">
        <v>585</v>
      </c>
      <c r="E82" s="225">
        <v>23</v>
      </c>
      <c r="F82" s="225" t="s">
        <v>494</v>
      </c>
      <c r="G82" s="225">
        <v>3</v>
      </c>
      <c r="H82" s="225" t="s">
        <v>383</v>
      </c>
      <c r="I82" s="225" t="s">
        <v>586</v>
      </c>
      <c r="J82" s="228">
        <v>49</v>
      </c>
      <c r="K82" s="226">
        <v>192515</v>
      </c>
      <c r="L82" s="226">
        <v>236748</v>
      </c>
      <c r="M82" s="226">
        <v>276775</v>
      </c>
      <c r="N82" s="227">
        <v>238471</v>
      </c>
    </row>
    <row r="83" spans="1:14">
      <c r="A83" s="225" t="s">
        <v>583</v>
      </c>
      <c r="B83" s="225" t="s">
        <v>584</v>
      </c>
      <c r="C83" s="225">
        <v>100</v>
      </c>
      <c r="D83" s="225" t="s">
        <v>585</v>
      </c>
      <c r="E83" s="225">
        <v>23</v>
      </c>
      <c r="F83" s="225" t="s">
        <v>494</v>
      </c>
      <c r="G83" s="225">
        <v>2</v>
      </c>
      <c r="H83" s="225" t="s">
        <v>352</v>
      </c>
      <c r="I83" s="225" t="s">
        <v>586</v>
      </c>
      <c r="J83" s="228">
        <v>48</v>
      </c>
      <c r="K83" s="226">
        <v>238424</v>
      </c>
      <c r="L83" s="226">
        <v>268943</v>
      </c>
      <c r="M83" s="226">
        <v>352139</v>
      </c>
      <c r="N83" s="227">
        <v>281754.8</v>
      </c>
    </row>
    <row r="84" spans="1:14">
      <c r="A84" s="225" t="s">
        <v>583</v>
      </c>
      <c r="B84" s="225" t="s">
        <v>584</v>
      </c>
      <c r="C84" s="225">
        <v>100</v>
      </c>
      <c r="D84" s="225" t="s">
        <v>585</v>
      </c>
      <c r="E84" s="225">
        <v>23</v>
      </c>
      <c r="F84" s="225" t="s">
        <v>494</v>
      </c>
      <c r="G84" s="225">
        <v>6</v>
      </c>
      <c r="H84" s="225" t="s">
        <v>385</v>
      </c>
      <c r="I84" s="225" t="s">
        <v>586</v>
      </c>
      <c r="J84" s="228">
        <v>14</v>
      </c>
      <c r="K84" s="226">
        <v>225005</v>
      </c>
      <c r="L84" s="226">
        <v>256226</v>
      </c>
      <c r="M84" s="226">
        <v>334607</v>
      </c>
      <c r="N84" s="227">
        <v>291532.59999999998</v>
      </c>
    </row>
    <row r="85" spans="1:14">
      <c r="A85" s="225" t="s">
        <v>583</v>
      </c>
      <c r="B85" s="225" t="s">
        <v>584</v>
      </c>
      <c r="C85" s="225">
        <v>100</v>
      </c>
      <c r="D85" s="225" t="s">
        <v>585</v>
      </c>
      <c r="E85" s="225">
        <v>23</v>
      </c>
      <c r="F85" s="225" t="s">
        <v>494</v>
      </c>
      <c r="G85" s="225">
        <v>1</v>
      </c>
      <c r="H85" s="225" t="s">
        <v>384</v>
      </c>
      <c r="I85" s="225" t="s">
        <v>586</v>
      </c>
      <c r="J85" s="228">
        <v>1</v>
      </c>
      <c r="K85" s="228"/>
      <c r="L85" s="228"/>
      <c r="M85" s="228"/>
      <c r="N85" s="228"/>
    </row>
    <row r="86" spans="1:14">
      <c r="A86" s="225" t="s">
        <v>583</v>
      </c>
      <c r="B86" s="225" t="s">
        <v>584</v>
      </c>
      <c r="C86" s="225">
        <v>100</v>
      </c>
      <c r="D86" s="225" t="s">
        <v>585</v>
      </c>
      <c r="E86" s="225">
        <v>-13</v>
      </c>
      <c r="F86" s="225" t="s">
        <v>501</v>
      </c>
      <c r="G86" s="225">
        <v>5</v>
      </c>
      <c r="H86" s="225" t="s">
        <v>349</v>
      </c>
      <c r="I86" s="225" t="s">
        <v>586</v>
      </c>
      <c r="J86" s="228">
        <v>148</v>
      </c>
      <c r="K86" s="226">
        <v>153458</v>
      </c>
      <c r="L86" s="226">
        <v>240000</v>
      </c>
      <c r="M86" s="226">
        <v>316588</v>
      </c>
      <c r="N86" s="227">
        <v>254322.1</v>
      </c>
    </row>
    <row r="87" spans="1:14">
      <c r="A87" s="225" t="s">
        <v>583</v>
      </c>
      <c r="B87" s="225" t="s">
        <v>584</v>
      </c>
      <c r="C87" s="225">
        <v>100</v>
      </c>
      <c r="D87" s="225" t="s">
        <v>585</v>
      </c>
      <c r="E87" s="225">
        <v>-13</v>
      </c>
      <c r="F87" s="225" t="s">
        <v>501</v>
      </c>
      <c r="G87" s="225">
        <v>4</v>
      </c>
      <c r="H87" s="225" t="s">
        <v>382</v>
      </c>
      <c r="I87" s="225" t="s">
        <v>586</v>
      </c>
      <c r="J87" s="226">
        <v>1646</v>
      </c>
      <c r="K87" s="226">
        <v>296418</v>
      </c>
      <c r="L87" s="226">
        <v>359568</v>
      </c>
      <c r="M87" s="226">
        <v>467730</v>
      </c>
      <c r="N87" s="227">
        <v>398809.1</v>
      </c>
    </row>
    <row r="88" spans="1:14">
      <c r="A88" s="225" t="s">
        <v>583</v>
      </c>
      <c r="B88" s="225" t="s">
        <v>584</v>
      </c>
      <c r="C88" s="225">
        <v>100</v>
      </c>
      <c r="D88" s="225" t="s">
        <v>585</v>
      </c>
      <c r="E88" s="225">
        <v>-13</v>
      </c>
      <c r="F88" s="225" t="s">
        <v>501</v>
      </c>
      <c r="G88" s="225">
        <v>3</v>
      </c>
      <c r="H88" s="225" t="s">
        <v>383</v>
      </c>
      <c r="I88" s="225" t="s">
        <v>586</v>
      </c>
      <c r="J88" s="228">
        <v>905</v>
      </c>
      <c r="K88" s="226">
        <v>330020</v>
      </c>
      <c r="L88" s="226">
        <v>405831</v>
      </c>
      <c r="M88" s="226">
        <v>504236</v>
      </c>
      <c r="N88" s="227">
        <v>440374.1</v>
      </c>
    </row>
    <row r="89" spans="1:14">
      <c r="A89" s="225" t="s">
        <v>583</v>
      </c>
      <c r="B89" s="225" t="s">
        <v>584</v>
      </c>
      <c r="C89" s="225">
        <v>100</v>
      </c>
      <c r="D89" s="225" t="s">
        <v>585</v>
      </c>
      <c r="E89" s="225">
        <v>-13</v>
      </c>
      <c r="F89" s="225" t="s">
        <v>501</v>
      </c>
      <c r="G89" s="225">
        <v>2</v>
      </c>
      <c r="H89" s="225" t="s">
        <v>352</v>
      </c>
      <c r="I89" s="225" t="s">
        <v>586</v>
      </c>
      <c r="J89" s="228">
        <v>890</v>
      </c>
      <c r="K89" s="226">
        <v>334565</v>
      </c>
      <c r="L89" s="226">
        <v>417310</v>
      </c>
      <c r="M89" s="226">
        <v>521228</v>
      </c>
      <c r="N89" s="227">
        <v>459457.3</v>
      </c>
    </row>
    <row r="90" spans="1:14">
      <c r="A90" s="225" t="s">
        <v>583</v>
      </c>
      <c r="B90" s="225" t="s">
        <v>584</v>
      </c>
      <c r="C90" s="225">
        <v>100</v>
      </c>
      <c r="D90" s="225" t="s">
        <v>585</v>
      </c>
      <c r="E90" s="225">
        <v>-13</v>
      </c>
      <c r="F90" s="225" t="s">
        <v>501</v>
      </c>
      <c r="G90" s="225">
        <v>6</v>
      </c>
      <c r="H90" s="225" t="s">
        <v>385</v>
      </c>
      <c r="I90" s="225" t="s">
        <v>586</v>
      </c>
      <c r="J90" s="228">
        <v>70</v>
      </c>
      <c r="K90" s="226">
        <v>487107</v>
      </c>
      <c r="L90" s="226">
        <v>583503</v>
      </c>
      <c r="M90" s="226">
        <v>727967</v>
      </c>
      <c r="N90" s="227">
        <v>659485.69999999995</v>
      </c>
    </row>
    <row r="91" spans="1:14">
      <c r="A91" s="225" t="s">
        <v>583</v>
      </c>
      <c r="B91" s="225" t="s">
        <v>584</v>
      </c>
      <c r="C91" s="225">
        <v>100</v>
      </c>
      <c r="D91" s="225" t="s">
        <v>585</v>
      </c>
      <c r="E91" s="225">
        <v>-13</v>
      </c>
      <c r="F91" s="225" t="s">
        <v>501</v>
      </c>
      <c r="G91" s="225">
        <v>1</v>
      </c>
      <c r="H91" s="225" t="s">
        <v>384</v>
      </c>
      <c r="I91" s="225" t="s">
        <v>586</v>
      </c>
      <c r="J91" s="228">
        <v>25</v>
      </c>
      <c r="K91" s="226">
        <v>565766</v>
      </c>
      <c r="L91" s="226">
        <v>758500</v>
      </c>
      <c r="M91" s="226">
        <v>926476</v>
      </c>
      <c r="N91" s="227">
        <v>747945.8</v>
      </c>
    </row>
    <row r="92" spans="1:14">
      <c r="A92" s="225" t="s">
        <v>583</v>
      </c>
      <c r="B92" s="225" t="s">
        <v>584</v>
      </c>
      <c r="C92" s="225">
        <v>100</v>
      </c>
      <c r="D92" s="225" t="s">
        <v>585</v>
      </c>
      <c r="E92" s="225">
        <v>90</v>
      </c>
      <c r="F92" s="225" t="s">
        <v>498</v>
      </c>
      <c r="G92" s="225">
        <v>5</v>
      </c>
      <c r="H92" s="225" t="s">
        <v>349</v>
      </c>
      <c r="I92" s="225" t="s">
        <v>586</v>
      </c>
      <c r="J92" s="228">
        <v>32</v>
      </c>
      <c r="K92" s="226">
        <v>182900</v>
      </c>
      <c r="L92" s="226">
        <v>347000</v>
      </c>
      <c r="M92" s="226">
        <v>442887</v>
      </c>
      <c r="N92" s="227">
        <v>331148.7</v>
      </c>
    </row>
    <row r="93" spans="1:14">
      <c r="A93" s="225" t="s">
        <v>583</v>
      </c>
      <c r="B93" s="225" t="s">
        <v>584</v>
      </c>
      <c r="C93" s="225">
        <v>100</v>
      </c>
      <c r="D93" s="225" t="s">
        <v>585</v>
      </c>
      <c r="E93" s="225">
        <v>90</v>
      </c>
      <c r="F93" s="225" t="s">
        <v>498</v>
      </c>
      <c r="G93" s="225">
        <v>4</v>
      </c>
      <c r="H93" s="225" t="s">
        <v>382</v>
      </c>
      <c r="I93" s="225" t="s">
        <v>586</v>
      </c>
      <c r="J93" s="228">
        <v>464</v>
      </c>
      <c r="K93" s="226">
        <v>333208</v>
      </c>
      <c r="L93" s="226">
        <v>400003</v>
      </c>
      <c r="M93" s="226">
        <v>520333</v>
      </c>
      <c r="N93" s="227">
        <v>442866.5</v>
      </c>
    </row>
    <row r="94" spans="1:14">
      <c r="A94" s="225" t="s">
        <v>583</v>
      </c>
      <c r="B94" s="225" t="s">
        <v>584</v>
      </c>
      <c r="C94" s="225">
        <v>100</v>
      </c>
      <c r="D94" s="225" t="s">
        <v>585</v>
      </c>
      <c r="E94" s="225">
        <v>90</v>
      </c>
      <c r="F94" s="225" t="s">
        <v>498</v>
      </c>
      <c r="G94" s="225">
        <v>3</v>
      </c>
      <c r="H94" s="225" t="s">
        <v>383</v>
      </c>
      <c r="I94" s="225" t="s">
        <v>586</v>
      </c>
      <c r="J94" s="228">
        <v>321</v>
      </c>
      <c r="K94" s="226">
        <v>381436</v>
      </c>
      <c r="L94" s="226">
        <v>450903</v>
      </c>
      <c r="M94" s="226">
        <v>563107</v>
      </c>
      <c r="N94" s="227">
        <v>500331.4</v>
      </c>
    </row>
    <row r="95" spans="1:14">
      <c r="A95" s="225" t="s">
        <v>583</v>
      </c>
      <c r="B95" s="225" t="s">
        <v>584</v>
      </c>
      <c r="C95" s="225">
        <v>100</v>
      </c>
      <c r="D95" s="225" t="s">
        <v>585</v>
      </c>
      <c r="E95" s="225">
        <v>90</v>
      </c>
      <c r="F95" s="225" t="s">
        <v>498</v>
      </c>
      <c r="G95" s="225">
        <v>2</v>
      </c>
      <c r="H95" s="225" t="s">
        <v>352</v>
      </c>
      <c r="I95" s="225" t="s">
        <v>586</v>
      </c>
      <c r="J95" s="228">
        <v>280</v>
      </c>
      <c r="K95" s="226">
        <v>388184</v>
      </c>
      <c r="L95" s="226">
        <v>455804</v>
      </c>
      <c r="M95" s="226">
        <v>569404</v>
      </c>
      <c r="N95" s="227">
        <v>518748.3</v>
      </c>
    </row>
    <row r="96" spans="1:14">
      <c r="A96" s="225" t="s">
        <v>583</v>
      </c>
      <c r="B96" s="225" t="s">
        <v>584</v>
      </c>
      <c r="C96" s="225">
        <v>100</v>
      </c>
      <c r="D96" s="225" t="s">
        <v>585</v>
      </c>
      <c r="E96" s="225">
        <v>90</v>
      </c>
      <c r="F96" s="225" t="s">
        <v>498</v>
      </c>
      <c r="G96" s="225">
        <v>6</v>
      </c>
      <c r="H96" s="225" t="s">
        <v>385</v>
      </c>
      <c r="I96" s="225" t="s">
        <v>586</v>
      </c>
      <c r="J96" s="228">
        <v>19</v>
      </c>
      <c r="K96" s="226">
        <v>613349</v>
      </c>
      <c r="L96" s="226">
        <v>738878</v>
      </c>
      <c r="M96" s="226">
        <v>1020000</v>
      </c>
      <c r="N96" s="227">
        <v>865149.1</v>
      </c>
    </row>
    <row r="97" spans="1:14">
      <c r="A97" s="225" t="s">
        <v>583</v>
      </c>
      <c r="B97" s="225" t="s">
        <v>584</v>
      </c>
      <c r="C97" s="225">
        <v>100</v>
      </c>
      <c r="D97" s="225" t="s">
        <v>585</v>
      </c>
      <c r="E97" s="225">
        <v>90</v>
      </c>
      <c r="F97" s="225" t="s">
        <v>498</v>
      </c>
      <c r="G97" s="225">
        <v>1</v>
      </c>
      <c r="H97" s="225" t="s">
        <v>384</v>
      </c>
      <c r="I97" s="225" t="s">
        <v>586</v>
      </c>
      <c r="J97" s="228">
        <v>12</v>
      </c>
      <c r="K97" s="226">
        <v>587474</v>
      </c>
      <c r="L97" s="226">
        <v>768103</v>
      </c>
      <c r="M97" s="226">
        <v>851812</v>
      </c>
      <c r="N97" s="227">
        <v>735095.5</v>
      </c>
    </row>
    <row r="98" spans="1:14">
      <c r="A98" s="225" t="s">
        <v>583</v>
      </c>
      <c r="B98" s="225" t="s">
        <v>584</v>
      </c>
      <c r="C98" s="225">
        <v>100</v>
      </c>
      <c r="D98" s="225" t="s">
        <v>585</v>
      </c>
      <c r="E98" s="225">
        <v>91</v>
      </c>
      <c r="F98" s="225" t="s">
        <v>499</v>
      </c>
      <c r="G98" s="225">
        <v>5</v>
      </c>
      <c r="H98" s="225" t="s">
        <v>349</v>
      </c>
      <c r="I98" s="225" t="s">
        <v>586</v>
      </c>
      <c r="J98" s="228">
        <v>26</v>
      </c>
      <c r="K98" s="226">
        <v>190316</v>
      </c>
      <c r="L98" s="226">
        <v>235567</v>
      </c>
      <c r="M98" s="226">
        <v>314363</v>
      </c>
      <c r="N98" s="227">
        <v>269082.7</v>
      </c>
    </row>
    <row r="99" spans="1:14">
      <c r="A99" s="225" t="s">
        <v>583</v>
      </c>
      <c r="B99" s="225" t="s">
        <v>584</v>
      </c>
      <c r="C99" s="225">
        <v>100</v>
      </c>
      <c r="D99" s="225" t="s">
        <v>585</v>
      </c>
      <c r="E99" s="225">
        <v>91</v>
      </c>
      <c r="F99" s="225" t="s">
        <v>499</v>
      </c>
      <c r="G99" s="225">
        <v>4</v>
      </c>
      <c r="H99" s="225" t="s">
        <v>382</v>
      </c>
      <c r="I99" s="225" t="s">
        <v>586</v>
      </c>
      <c r="J99" s="228">
        <v>159</v>
      </c>
      <c r="K99" s="226">
        <v>328000</v>
      </c>
      <c r="L99" s="226">
        <v>378000</v>
      </c>
      <c r="M99" s="226">
        <v>497750</v>
      </c>
      <c r="N99" s="227">
        <v>422442.6</v>
      </c>
    </row>
    <row r="100" spans="1:14">
      <c r="A100" s="225" t="s">
        <v>583</v>
      </c>
      <c r="B100" s="225" t="s">
        <v>584</v>
      </c>
      <c r="C100" s="225">
        <v>100</v>
      </c>
      <c r="D100" s="225" t="s">
        <v>585</v>
      </c>
      <c r="E100" s="225">
        <v>91</v>
      </c>
      <c r="F100" s="225" t="s">
        <v>499</v>
      </c>
      <c r="G100" s="225">
        <v>3</v>
      </c>
      <c r="H100" s="225" t="s">
        <v>383</v>
      </c>
      <c r="I100" s="225" t="s">
        <v>586</v>
      </c>
      <c r="J100" s="228">
        <v>74</v>
      </c>
      <c r="K100" s="226">
        <v>348951</v>
      </c>
      <c r="L100" s="226">
        <v>419746</v>
      </c>
      <c r="M100" s="226">
        <v>521428</v>
      </c>
      <c r="N100" s="227">
        <v>467771.2</v>
      </c>
    </row>
    <row r="101" spans="1:14">
      <c r="A101" s="225" t="s">
        <v>583</v>
      </c>
      <c r="B101" s="225" t="s">
        <v>584</v>
      </c>
      <c r="C101" s="225">
        <v>100</v>
      </c>
      <c r="D101" s="225" t="s">
        <v>585</v>
      </c>
      <c r="E101" s="225">
        <v>91</v>
      </c>
      <c r="F101" s="225" t="s">
        <v>499</v>
      </c>
      <c r="G101" s="225">
        <v>2</v>
      </c>
      <c r="H101" s="225" t="s">
        <v>352</v>
      </c>
      <c r="I101" s="225" t="s">
        <v>586</v>
      </c>
      <c r="J101" s="228">
        <v>81</v>
      </c>
      <c r="K101" s="226">
        <v>337738</v>
      </c>
      <c r="L101" s="226">
        <v>420530</v>
      </c>
      <c r="M101" s="226">
        <v>526751</v>
      </c>
      <c r="N101" s="227">
        <v>484461.6</v>
      </c>
    </row>
    <row r="102" spans="1:14">
      <c r="A102" s="225" t="s">
        <v>583</v>
      </c>
      <c r="B102" s="225" t="s">
        <v>584</v>
      </c>
      <c r="C102" s="225">
        <v>100</v>
      </c>
      <c r="D102" s="225" t="s">
        <v>585</v>
      </c>
      <c r="E102" s="225">
        <v>91</v>
      </c>
      <c r="F102" s="225" t="s">
        <v>499</v>
      </c>
      <c r="G102" s="225">
        <v>6</v>
      </c>
      <c r="H102" s="225" t="s">
        <v>385</v>
      </c>
      <c r="I102" s="225" t="s">
        <v>586</v>
      </c>
      <c r="J102" s="228">
        <v>8</v>
      </c>
      <c r="K102" s="226">
        <v>533045</v>
      </c>
      <c r="L102" s="226">
        <v>605407</v>
      </c>
      <c r="M102" s="226">
        <v>661496</v>
      </c>
      <c r="N102" s="227">
        <v>594163.80000000005</v>
      </c>
    </row>
    <row r="103" spans="1:14">
      <c r="A103" s="225" t="s">
        <v>583</v>
      </c>
      <c r="B103" s="225" t="s">
        <v>584</v>
      </c>
      <c r="C103" s="225">
        <v>100</v>
      </c>
      <c r="D103" s="225" t="s">
        <v>585</v>
      </c>
      <c r="E103" s="225">
        <v>91</v>
      </c>
      <c r="F103" s="225" t="s">
        <v>499</v>
      </c>
      <c r="G103" s="225">
        <v>1</v>
      </c>
      <c r="H103" s="225" t="s">
        <v>384</v>
      </c>
      <c r="I103" s="225" t="s">
        <v>586</v>
      </c>
      <c r="J103" s="228">
        <v>0</v>
      </c>
      <c r="K103" s="228"/>
      <c r="L103" s="228"/>
      <c r="M103" s="228"/>
      <c r="N103" s="228"/>
    </row>
    <row r="104" spans="1:14">
      <c r="A104" s="225" t="s">
        <v>583</v>
      </c>
      <c r="B104" s="225" t="s">
        <v>584</v>
      </c>
      <c r="C104" s="225">
        <v>100</v>
      </c>
      <c r="D104" s="225" t="s">
        <v>585</v>
      </c>
      <c r="E104" s="225">
        <v>92</v>
      </c>
      <c r="F104" s="225" t="s">
        <v>500</v>
      </c>
      <c r="G104" s="225">
        <v>5</v>
      </c>
      <c r="H104" s="225" t="s">
        <v>349</v>
      </c>
      <c r="I104" s="225" t="s">
        <v>586</v>
      </c>
      <c r="J104" s="228">
        <v>90</v>
      </c>
      <c r="K104" s="226">
        <v>148674</v>
      </c>
      <c r="L104" s="226">
        <v>227407</v>
      </c>
      <c r="M104" s="226">
        <v>292000</v>
      </c>
      <c r="N104" s="227">
        <v>222741.8</v>
      </c>
    </row>
    <row r="105" spans="1:14">
      <c r="A105" s="225" t="s">
        <v>583</v>
      </c>
      <c r="B105" s="225" t="s">
        <v>584</v>
      </c>
      <c r="C105" s="225">
        <v>100</v>
      </c>
      <c r="D105" s="225" t="s">
        <v>585</v>
      </c>
      <c r="E105" s="225">
        <v>92</v>
      </c>
      <c r="F105" s="225" t="s">
        <v>500</v>
      </c>
      <c r="G105" s="225">
        <v>4</v>
      </c>
      <c r="H105" s="225" t="s">
        <v>382</v>
      </c>
      <c r="I105" s="225" t="s">
        <v>586</v>
      </c>
      <c r="J105" s="226">
        <v>1023</v>
      </c>
      <c r="K105" s="226">
        <v>279446</v>
      </c>
      <c r="L105" s="226">
        <v>340000</v>
      </c>
      <c r="M105" s="226">
        <v>435233</v>
      </c>
      <c r="N105" s="227">
        <v>375152.9</v>
      </c>
    </row>
    <row r="106" spans="1:14">
      <c r="A106" s="225" t="s">
        <v>583</v>
      </c>
      <c r="B106" s="225" t="s">
        <v>584</v>
      </c>
      <c r="C106" s="225">
        <v>100</v>
      </c>
      <c r="D106" s="225" t="s">
        <v>585</v>
      </c>
      <c r="E106" s="225">
        <v>92</v>
      </c>
      <c r="F106" s="225" t="s">
        <v>500</v>
      </c>
      <c r="G106" s="225">
        <v>3</v>
      </c>
      <c r="H106" s="225" t="s">
        <v>383</v>
      </c>
      <c r="I106" s="225" t="s">
        <v>586</v>
      </c>
      <c r="J106" s="228">
        <v>510</v>
      </c>
      <c r="K106" s="226">
        <v>305130</v>
      </c>
      <c r="L106" s="226">
        <v>366738</v>
      </c>
      <c r="M106" s="226">
        <v>459056</v>
      </c>
      <c r="N106" s="227">
        <v>398661</v>
      </c>
    </row>
    <row r="107" spans="1:14">
      <c r="A107" s="225" t="s">
        <v>583</v>
      </c>
      <c r="B107" s="225" t="s">
        <v>584</v>
      </c>
      <c r="C107" s="225">
        <v>100</v>
      </c>
      <c r="D107" s="225" t="s">
        <v>585</v>
      </c>
      <c r="E107" s="225">
        <v>92</v>
      </c>
      <c r="F107" s="225" t="s">
        <v>500</v>
      </c>
      <c r="G107" s="225">
        <v>2</v>
      </c>
      <c r="H107" s="225" t="s">
        <v>352</v>
      </c>
      <c r="I107" s="225" t="s">
        <v>586</v>
      </c>
      <c r="J107" s="228">
        <v>529</v>
      </c>
      <c r="K107" s="226">
        <v>309608</v>
      </c>
      <c r="L107" s="226">
        <v>388919</v>
      </c>
      <c r="M107" s="226">
        <v>490716</v>
      </c>
      <c r="N107" s="227">
        <v>424245.8</v>
      </c>
    </row>
    <row r="108" spans="1:14">
      <c r="A108" s="225" t="s">
        <v>583</v>
      </c>
      <c r="B108" s="225" t="s">
        <v>584</v>
      </c>
      <c r="C108" s="225">
        <v>100</v>
      </c>
      <c r="D108" s="225" t="s">
        <v>585</v>
      </c>
      <c r="E108" s="225">
        <v>92</v>
      </c>
      <c r="F108" s="225" t="s">
        <v>500</v>
      </c>
      <c r="G108" s="225">
        <v>6</v>
      </c>
      <c r="H108" s="225" t="s">
        <v>385</v>
      </c>
      <c r="I108" s="225" t="s">
        <v>586</v>
      </c>
      <c r="J108" s="228">
        <v>43</v>
      </c>
      <c r="K108" s="226">
        <v>474203</v>
      </c>
      <c r="L108" s="226">
        <v>538476</v>
      </c>
      <c r="M108" s="226">
        <v>611663</v>
      </c>
      <c r="N108" s="227">
        <v>580764</v>
      </c>
    </row>
    <row r="109" spans="1:14">
      <c r="A109" s="225" t="s">
        <v>583</v>
      </c>
      <c r="B109" s="225" t="s">
        <v>584</v>
      </c>
      <c r="C109" s="225">
        <v>100</v>
      </c>
      <c r="D109" s="225" t="s">
        <v>585</v>
      </c>
      <c r="E109" s="225">
        <v>92</v>
      </c>
      <c r="F109" s="225" t="s">
        <v>500</v>
      </c>
      <c r="G109" s="225">
        <v>1</v>
      </c>
      <c r="H109" s="225" t="s">
        <v>384</v>
      </c>
      <c r="I109" s="225" t="s">
        <v>586</v>
      </c>
      <c r="J109" s="228">
        <v>13</v>
      </c>
      <c r="K109" s="226">
        <v>495173</v>
      </c>
      <c r="L109" s="226">
        <v>693267</v>
      </c>
      <c r="M109" s="226">
        <v>1055750</v>
      </c>
      <c r="N109" s="227">
        <v>759807.7</v>
      </c>
    </row>
    <row r="110" spans="1:14">
      <c r="A110" s="225" t="s">
        <v>583</v>
      </c>
      <c r="B110" s="225" t="s">
        <v>584</v>
      </c>
      <c r="C110" s="225">
        <v>100</v>
      </c>
      <c r="D110" s="225" t="s">
        <v>585</v>
      </c>
      <c r="E110" s="225">
        <v>15</v>
      </c>
      <c r="F110" s="225" t="s">
        <v>504</v>
      </c>
      <c r="G110" s="225">
        <v>5</v>
      </c>
      <c r="H110" s="225" t="s">
        <v>349</v>
      </c>
      <c r="I110" s="225" t="s">
        <v>586</v>
      </c>
      <c r="J110" s="228">
        <v>17</v>
      </c>
      <c r="K110" s="226">
        <v>108200</v>
      </c>
      <c r="L110" s="226">
        <v>227438</v>
      </c>
      <c r="M110" s="226">
        <v>285910</v>
      </c>
      <c r="N110" s="227">
        <v>216434.6</v>
      </c>
    </row>
    <row r="111" spans="1:14">
      <c r="A111" s="225" t="s">
        <v>583</v>
      </c>
      <c r="B111" s="225" t="s">
        <v>584</v>
      </c>
      <c r="C111" s="225">
        <v>100</v>
      </c>
      <c r="D111" s="225" t="s">
        <v>585</v>
      </c>
      <c r="E111" s="225">
        <v>15</v>
      </c>
      <c r="F111" s="225" t="s">
        <v>504</v>
      </c>
      <c r="G111" s="225">
        <v>4</v>
      </c>
      <c r="H111" s="225" t="s">
        <v>382</v>
      </c>
      <c r="I111" s="225" t="s">
        <v>586</v>
      </c>
      <c r="J111" s="228">
        <v>289</v>
      </c>
      <c r="K111" s="226">
        <v>264704</v>
      </c>
      <c r="L111" s="226">
        <v>339477</v>
      </c>
      <c r="M111" s="226">
        <v>400021</v>
      </c>
      <c r="N111" s="227">
        <v>337374.5</v>
      </c>
    </row>
    <row r="112" spans="1:14">
      <c r="A112" s="225" t="s">
        <v>583</v>
      </c>
      <c r="B112" s="225" t="s">
        <v>584</v>
      </c>
      <c r="C112" s="225">
        <v>100</v>
      </c>
      <c r="D112" s="225" t="s">
        <v>585</v>
      </c>
      <c r="E112" s="225">
        <v>15</v>
      </c>
      <c r="F112" s="225" t="s">
        <v>504</v>
      </c>
      <c r="G112" s="225">
        <v>3</v>
      </c>
      <c r="H112" s="225" t="s">
        <v>383</v>
      </c>
      <c r="I112" s="225" t="s">
        <v>586</v>
      </c>
      <c r="J112" s="228">
        <v>125</v>
      </c>
      <c r="K112" s="226">
        <v>292803</v>
      </c>
      <c r="L112" s="226">
        <v>353113</v>
      </c>
      <c r="M112" s="226">
        <v>431715</v>
      </c>
      <c r="N112" s="227">
        <v>370213.5</v>
      </c>
    </row>
    <row r="113" spans="1:14">
      <c r="A113" s="225" t="s">
        <v>583</v>
      </c>
      <c r="B113" s="225" t="s">
        <v>584</v>
      </c>
      <c r="C113" s="225">
        <v>100</v>
      </c>
      <c r="D113" s="225" t="s">
        <v>585</v>
      </c>
      <c r="E113" s="225">
        <v>15</v>
      </c>
      <c r="F113" s="225" t="s">
        <v>504</v>
      </c>
      <c r="G113" s="225">
        <v>2</v>
      </c>
      <c r="H113" s="225" t="s">
        <v>352</v>
      </c>
      <c r="I113" s="225" t="s">
        <v>586</v>
      </c>
      <c r="J113" s="228">
        <v>91</v>
      </c>
      <c r="K113" s="226">
        <v>321619</v>
      </c>
      <c r="L113" s="226">
        <v>383562</v>
      </c>
      <c r="M113" s="226">
        <v>466667</v>
      </c>
      <c r="N113" s="227">
        <v>414274.4</v>
      </c>
    </row>
    <row r="114" spans="1:14">
      <c r="A114" s="225" t="s">
        <v>583</v>
      </c>
      <c r="B114" s="225" t="s">
        <v>584</v>
      </c>
      <c r="C114" s="225">
        <v>100</v>
      </c>
      <c r="D114" s="225" t="s">
        <v>585</v>
      </c>
      <c r="E114" s="225">
        <v>15</v>
      </c>
      <c r="F114" s="225" t="s">
        <v>504</v>
      </c>
      <c r="G114" s="225">
        <v>6</v>
      </c>
      <c r="H114" s="225" t="s">
        <v>385</v>
      </c>
      <c r="I114" s="225" t="s">
        <v>586</v>
      </c>
      <c r="J114" s="228">
        <v>18</v>
      </c>
      <c r="K114" s="226">
        <v>404066</v>
      </c>
      <c r="L114" s="226">
        <v>444227</v>
      </c>
      <c r="M114" s="226">
        <v>479415</v>
      </c>
      <c r="N114" s="227">
        <v>454299.8</v>
      </c>
    </row>
    <row r="115" spans="1:14">
      <c r="A115" s="225" t="s">
        <v>583</v>
      </c>
      <c r="B115" s="225" t="s">
        <v>584</v>
      </c>
      <c r="C115" s="225">
        <v>100</v>
      </c>
      <c r="D115" s="225" t="s">
        <v>585</v>
      </c>
      <c r="E115" s="225">
        <v>15</v>
      </c>
      <c r="F115" s="225" t="s">
        <v>504</v>
      </c>
      <c r="G115" s="225">
        <v>1</v>
      </c>
      <c r="H115" s="225" t="s">
        <v>384</v>
      </c>
      <c r="I115" s="225" t="s">
        <v>586</v>
      </c>
      <c r="J115" s="228">
        <v>6</v>
      </c>
      <c r="K115" s="226">
        <v>523419</v>
      </c>
      <c r="L115" s="226">
        <v>751255</v>
      </c>
      <c r="M115" s="226">
        <v>926926</v>
      </c>
      <c r="N115" s="227">
        <v>707235.5</v>
      </c>
    </row>
    <row r="116" spans="1:14">
      <c r="A116" s="225" t="s">
        <v>583</v>
      </c>
      <c r="B116" s="225" t="s">
        <v>584</v>
      </c>
      <c r="C116" s="225">
        <v>100</v>
      </c>
      <c r="D116" s="225" t="s">
        <v>585</v>
      </c>
      <c r="E116" s="225">
        <v>16</v>
      </c>
      <c r="F116" s="225" t="s">
        <v>511</v>
      </c>
      <c r="G116" s="225">
        <v>5</v>
      </c>
      <c r="H116" s="225" t="s">
        <v>349</v>
      </c>
      <c r="I116" s="225" t="s">
        <v>586</v>
      </c>
      <c r="J116" s="228">
        <v>54</v>
      </c>
      <c r="K116" s="226">
        <v>122500</v>
      </c>
      <c r="L116" s="226">
        <v>145272</v>
      </c>
      <c r="M116" s="226">
        <v>188311</v>
      </c>
      <c r="N116" s="227">
        <v>160430.6</v>
      </c>
    </row>
    <row r="117" spans="1:14">
      <c r="A117" s="225" t="s">
        <v>583</v>
      </c>
      <c r="B117" s="225" t="s">
        <v>584</v>
      </c>
      <c r="C117" s="225">
        <v>100</v>
      </c>
      <c r="D117" s="225" t="s">
        <v>585</v>
      </c>
      <c r="E117" s="225">
        <v>16</v>
      </c>
      <c r="F117" s="225" t="s">
        <v>511</v>
      </c>
      <c r="G117" s="225">
        <v>4</v>
      </c>
      <c r="H117" s="225" t="s">
        <v>382</v>
      </c>
      <c r="I117" s="225" t="s">
        <v>586</v>
      </c>
      <c r="J117" s="228">
        <v>500</v>
      </c>
      <c r="K117" s="226">
        <v>172450</v>
      </c>
      <c r="L117" s="226">
        <v>192282</v>
      </c>
      <c r="M117" s="226">
        <v>224886</v>
      </c>
      <c r="N117" s="227">
        <v>205641.2</v>
      </c>
    </row>
    <row r="118" spans="1:14">
      <c r="A118" s="225" t="s">
        <v>583</v>
      </c>
      <c r="B118" s="225" t="s">
        <v>584</v>
      </c>
      <c r="C118" s="225">
        <v>100</v>
      </c>
      <c r="D118" s="225" t="s">
        <v>585</v>
      </c>
      <c r="E118" s="225">
        <v>16</v>
      </c>
      <c r="F118" s="225" t="s">
        <v>511</v>
      </c>
      <c r="G118" s="225">
        <v>3</v>
      </c>
      <c r="H118" s="225" t="s">
        <v>383</v>
      </c>
      <c r="I118" s="225" t="s">
        <v>586</v>
      </c>
      <c r="J118" s="228">
        <v>292</v>
      </c>
      <c r="K118" s="226">
        <v>193816</v>
      </c>
      <c r="L118" s="226">
        <v>215367</v>
      </c>
      <c r="M118" s="226">
        <v>249351</v>
      </c>
      <c r="N118" s="227">
        <v>227354.3</v>
      </c>
    </row>
    <row r="119" spans="1:14">
      <c r="A119" s="225" t="s">
        <v>583</v>
      </c>
      <c r="B119" s="225" t="s">
        <v>584</v>
      </c>
      <c r="C119" s="225">
        <v>100</v>
      </c>
      <c r="D119" s="225" t="s">
        <v>585</v>
      </c>
      <c r="E119" s="225">
        <v>16</v>
      </c>
      <c r="F119" s="225" t="s">
        <v>511</v>
      </c>
      <c r="G119" s="225">
        <v>2</v>
      </c>
      <c r="H119" s="225" t="s">
        <v>352</v>
      </c>
      <c r="I119" s="225" t="s">
        <v>586</v>
      </c>
      <c r="J119" s="228">
        <v>260</v>
      </c>
      <c r="K119" s="226">
        <v>222153</v>
      </c>
      <c r="L119" s="226">
        <v>266419</v>
      </c>
      <c r="M119" s="226">
        <v>311451</v>
      </c>
      <c r="N119" s="227">
        <v>283973.5</v>
      </c>
    </row>
    <row r="120" spans="1:14">
      <c r="A120" s="225" t="s">
        <v>583</v>
      </c>
      <c r="B120" s="225" t="s">
        <v>584</v>
      </c>
      <c r="C120" s="225">
        <v>100</v>
      </c>
      <c r="D120" s="225" t="s">
        <v>585</v>
      </c>
      <c r="E120" s="225">
        <v>16</v>
      </c>
      <c r="F120" s="225" t="s">
        <v>511</v>
      </c>
      <c r="G120" s="225">
        <v>6</v>
      </c>
      <c r="H120" s="225" t="s">
        <v>385</v>
      </c>
      <c r="I120" s="225" t="s">
        <v>586</v>
      </c>
      <c r="J120" s="228">
        <v>55</v>
      </c>
      <c r="K120" s="226">
        <v>296350</v>
      </c>
      <c r="L120" s="226">
        <v>333072</v>
      </c>
      <c r="M120" s="226">
        <v>391364</v>
      </c>
      <c r="N120" s="227">
        <v>342846.4</v>
      </c>
    </row>
    <row r="121" spans="1:14">
      <c r="A121" s="225" t="s">
        <v>583</v>
      </c>
      <c r="B121" s="225" t="s">
        <v>584</v>
      </c>
      <c r="C121" s="225">
        <v>100</v>
      </c>
      <c r="D121" s="225" t="s">
        <v>585</v>
      </c>
      <c r="E121" s="225">
        <v>16</v>
      </c>
      <c r="F121" s="225" t="s">
        <v>511</v>
      </c>
      <c r="G121" s="225">
        <v>1</v>
      </c>
      <c r="H121" s="225" t="s">
        <v>384</v>
      </c>
      <c r="I121" s="225" t="s">
        <v>586</v>
      </c>
      <c r="J121" s="228">
        <v>7</v>
      </c>
      <c r="K121" s="226">
        <v>391545</v>
      </c>
      <c r="L121" s="226">
        <v>555500</v>
      </c>
      <c r="M121" s="226">
        <v>809615</v>
      </c>
      <c r="N121" s="227">
        <v>603013.30000000005</v>
      </c>
    </row>
    <row r="122" spans="1:14">
      <c r="A122" s="225" t="s">
        <v>583</v>
      </c>
      <c r="B122" s="225" t="s">
        <v>584</v>
      </c>
      <c r="C122" s="225">
        <v>100</v>
      </c>
      <c r="D122" s="225" t="s">
        <v>585</v>
      </c>
      <c r="E122" s="225">
        <v>14</v>
      </c>
      <c r="F122" s="225" t="s">
        <v>515</v>
      </c>
      <c r="G122" s="225">
        <v>5</v>
      </c>
      <c r="H122" s="225" t="s">
        <v>349</v>
      </c>
      <c r="I122" s="225" t="s">
        <v>586</v>
      </c>
      <c r="J122" s="228">
        <v>90</v>
      </c>
      <c r="K122" s="226">
        <v>146027</v>
      </c>
      <c r="L122" s="226">
        <v>237259</v>
      </c>
      <c r="M122" s="226">
        <v>300105</v>
      </c>
      <c r="N122" s="227">
        <v>235618.4</v>
      </c>
    </row>
    <row r="123" spans="1:14">
      <c r="A123" s="225" t="s">
        <v>583</v>
      </c>
      <c r="B123" s="225" t="s">
        <v>584</v>
      </c>
      <c r="C123" s="225">
        <v>100</v>
      </c>
      <c r="D123" s="225" t="s">
        <v>585</v>
      </c>
      <c r="E123" s="225">
        <v>14</v>
      </c>
      <c r="F123" s="225" t="s">
        <v>515</v>
      </c>
      <c r="G123" s="225">
        <v>4</v>
      </c>
      <c r="H123" s="225" t="s">
        <v>382</v>
      </c>
      <c r="I123" s="225" t="s">
        <v>586</v>
      </c>
      <c r="J123" s="228">
        <v>898</v>
      </c>
      <c r="K123" s="226">
        <v>275409</v>
      </c>
      <c r="L123" s="226">
        <v>321036</v>
      </c>
      <c r="M123" s="226">
        <v>384210</v>
      </c>
      <c r="N123" s="227">
        <v>337232.2</v>
      </c>
    </row>
    <row r="124" spans="1:14">
      <c r="A124" s="225" t="s">
        <v>583</v>
      </c>
      <c r="B124" s="225" t="s">
        <v>584</v>
      </c>
      <c r="C124" s="225">
        <v>100</v>
      </c>
      <c r="D124" s="225" t="s">
        <v>585</v>
      </c>
      <c r="E124" s="225">
        <v>14</v>
      </c>
      <c r="F124" s="225" t="s">
        <v>515</v>
      </c>
      <c r="G124" s="225">
        <v>3</v>
      </c>
      <c r="H124" s="225" t="s">
        <v>383</v>
      </c>
      <c r="I124" s="225" t="s">
        <v>586</v>
      </c>
      <c r="J124" s="228">
        <v>483</v>
      </c>
      <c r="K124" s="226">
        <v>318354</v>
      </c>
      <c r="L124" s="226">
        <v>385604</v>
      </c>
      <c r="M124" s="226">
        <v>458586</v>
      </c>
      <c r="N124" s="227">
        <v>400435.3</v>
      </c>
    </row>
    <row r="125" spans="1:14">
      <c r="A125" s="225" t="s">
        <v>583</v>
      </c>
      <c r="B125" s="225" t="s">
        <v>584</v>
      </c>
      <c r="C125" s="225">
        <v>100</v>
      </c>
      <c r="D125" s="225" t="s">
        <v>585</v>
      </c>
      <c r="E125" s="225">
        <v>14</v>
      </c>
      <c r="F125" s="225" t="s">
        <v>515</v>
      </c>
      <c r="G125" s="225">
        <v>2</v>
      </c>
      <c r="H125" s="225" t="s">
        <v>352</v>
      </c>
      <c r="I125" s="225" t="s">
        <v>586</v>
      </c>
      <c r="J125" s="228">
        <v>475</v>
      </c>
      <c r="K125" s="226">
        <v>340037</v>
      </c>
      <c r="L125" s="226">
        <v>419664</v>
      </c>
      <c r="M125" s="226">
        <v>512141</v>
      </c>
      <c r="N125" s="227">
        <v>443511.8</v>
      </c>
    </row>
    <row r="126" spans="1:14">
      <c r="A126" s="225" t="s">
        <v>583</v>
      </c>
      <c r="B126" s="225" t="s">
        <v>584</v>
      </c>
      <c r="C126" s="225">
        <v>100</v>
      </c>
      <c r="D126" s="225" t="s">
        <v>585</v>
      </c>
      <c r="E126" s="225">
        <v>14</v>
      </c>
      <c r="F126" s="225" t="s">
        <v>515</v>
      </c>
      <c r="G126" s="225">
        <v>6</v>
      </c>
      <c r="H126" s="225" t="s">
        <v>385</v>
      </c>
      <c r="I126" s="225" t="s">
        <v>586</v>
      </c>
      <c r="J126" s="228">
        <v>62</v>
      </c>
      <c r="K126" s="226">
        <v>436010</v>
      </c>
      <c r="L126" s="226">
        <v>499773</v>
      </c>
      <c r="M126" s="226">
        <v>575000</v>
      </c>
      <c r="N126" s="227">
        <v>524323.1</v>
      </c>
    </row>
    <row r="127" spans="1:14">
      <c r="A127" s="225" t="s">
        <v>583</v>
      </c>
      <c r="B127" s="225" t="s">
        <v>584</v>
      </c>
      <c r="C127" s="225">
        <v>100</v>
      </c>
      <c r="D127" s="225" t="s">
        <v>585</v>
      </c>
      <c r="E127" s="225">
        <v>14</v>
      </c>
      <c r="F127" s="225" t="s">
        <v>515</v>
      </c>
      <c r="G127" s="225">
        <v>1</v>
      </c>
      <c r="H127" s="225" t="s">
        <v>384</v>
      </c>
      <c r="I127" s="225" t="s">
        <v>586</v>
      </c>
      <c r="J127" s="228">
        <v>7</v>
      </c>
      <c r="K127" s="226">
        <v>606250</v>
      </c>
      <c r="L127" s="226">
        <v>713450</v>
      </c>
      <c r="M127" s="226">
        <v>755245</v>
      </c>
      <c r="N127" s="227">
        <v>695752.9</v>
      </c>
    </row>
    <row r="128" spans="1:14">
      <c r="A128" s="225" t="s">
        <v>583</v>
      </c>
      <c r="B128" s="225" t="s">
        <v>584</v>
      </c>
      <c r="C128" s="225">
        <v>100</v>
      </c>
      <c r="D128" s="225" t="s">
        <v>585</v>
      </c>
      <c r="E128" s="225">
        <v>12</v>
      </c>
      <c r="F128" s="225" t="s">
        <v>413</v>
      </c>
      <c r="G128" s="225">
        <v>5</v>
      </c>
      <c r="H128" s="225" t="s">
        <v>349</v>
      </c>
      <c r="I128" s="225" t="s">
        <v>586</v>
      </c>
      <c r="J128" s="228">
        <v>412</v>
      </c>
      <c r="K128" s="226">
        <v>162154</v>
      </c>
      <c r="L128" s="226">
        <v>211091</v>
      </c>
      <c r="M128" s="226">
        <v>272100</v>
      </c>
      <c r="N128" s="227">
        <v>213116.5</v>
      </c>
    </row>
    <row r="129" spans="1:14">
      <c r="A129" s="225" t="s">
        <v>583</v>
      </c>
      <c r="B129" s="225" t="s">
        <v>584</v>
      </c>
      <c r="C129" s="225">
        <v>100</v>
      </c>
      <c r="D129" s="225" t="s">
        <v>585</v>
      </c>
      <c r="E129" s="225">
        <v>12</v>
      </c>
      <c r="F129" s="225" t="s">
        <v>413</v>
      </c>
      <c r="G129" s="225">
        <v>4</v>
      </c>
      <c r="H129" s="225" t="s">
        <v>382</v>
      </c>
      <c r="I129" s="225" t="s">
        <v>586</v>
      </c>
      <c r="J129" s="226">
        <v>2505</v>
      </c>
      <c r="K129" s="226">
        <v>198982</v>
      </c>
      <c r="L129" s="226">
        <v>227004</v>
      </c>
      <c r="M129" s="226">
        <v>268137</v>
      </c>
      <c r="N129" s="227">
        <v>242733.3</v>
      </c>
    </row>
    <row r="130" spans="1:14">
      <c r="A130" s="225" t="s">
        <v>583</v>
      </c>
      <c r="B130" s="225" t="s">
        <v>584</v>
      </c>
      <c r="C130" s="225">
        <v>100</v>
      </c>
      <c r="D130" s="225" t="s">
        <v>585</v>
      </c>
      <c r="E130" s="225">
        <v>12</v>
      </c>
      <c r="F130" s="225" t="s">
        <v>413</v>
      </c>
      <c r="G130" s="225">
        <v>3</v>
      </c>
      <c r="H130" s="225" t="s">
        <v>383</v>
      </c>
      <c r="I130" s="225" t="s">
        <v>586</v>
      </c>
      <c r="J130" s="228">
        <v>845</v>
      </c>
      <c r="K130" s="226">
        <v>216662</v>
      </c>
      <c r="L130" s="226">
        <v>244189</v>
      </c>
      <c r="M130" s="226">
        <v>288686</v>
      </c>
      <c r="N130" s="227">
        <v>260385.1</v>
      </c>
    </row>
    <row r="131" spans="1:14">
      <c r="A131" s="225" t="s">
        <v>583</v>
      </c>
      <c r="B131" s="225" t="s">
        <v>584</v>
      </c>
      <c r="C131" s="225">
        <v>100</v>
      </c>
      <c r="D131" s="225" t="s">
        <v>585</v>
      </c>
      <c r="E131" s="225">
        <v>12</v>
      </c>
      <c r="F131" s="225" t="s">
        <v>413</v>
      </c>
      <c r="G131" s="225">
        <v>2</v>
      </c>
      <c r="H131" s="225" t="s">
        <v>352</v>
      </c>
      <c r="I131" s="225" t="s">
        <v>586</v>
      </c>
      <c r="J131" s="228">
        <v>663</v>
      </c>
      <c r="K131" s="226">
        <v>245806</v>
      </c>
      <c r="L131" s="226">
        <v>281010</v>
      </c>
      <c r="M131" s="226">
        <v>331912</v>
      </c>
      <c r="N131" s="227">
        <v>308270.8</v>
      </c>
    </row>
    <row r="132" spans="1:14">
      <c r="A132" s="225" t="s">
        <v>583</v>
      </c>
      <c r="B132" s="225" t="s">
        <v>584</v>
      </c>
      <c r="C132" s="225">
        <v>100</v>
      </c>
      <c r="D132" s="225" t="s">
        <v>585</v>
      </c>
      <c r="E132" s="225">
        <v>12</v>
      </c>
      <c r="F132" s="225" t="s">
        <v>413</v>
      </c>
      <c r="G132" s="225">
        <v>6</v>
      </c>
      <c r="H132" s="225" t="s">
        <v>385</v>
      </c>
      <c r="I132" s="225" t="s">
        <v>586</v>
      </c>
      <c r="J132" s="228">
        <v>76</v>
      </c>
      <c r="K132" s="226">
        <v>272906</v>
      </c>
      <c r="L132" s="226">
        <v>331256</v>
      </c>
      <c r="M132" s="226">
        <v>377455</v>
      </c>
      <c r="N132" s="227">
        <v>347937.8</v>
      </c>
    </row>
    <row r="133" spans="1:14">
      <c r="A133" s="225" t="s">
        <v>583</v>
      </c>
      <c r="B133" s="225" t="s">
        <v>584</v>
      </c>
      <c r="C133" s="225">
        <v>100</v>
      </c>
      <c r="D133" s="225" t="s">
        <v>585</v>
      </c>
      <c r="E133" s="225">
        <v>12</v>
      </c>
      <c r="F133" s="225" t="s">
        <v>413</v>
      </c>
      <c r="G133" s="225">
        <v>1</v>
      </c>
      <c r="H133" s="225" t="s">
        <v>384</v>
      </c>
      <c r="I133" s="225" t="s">
        <v>586</v>
      </c>
      <c r="J133" s="228">
        <v>30</v>
      </c>
      <c r="K133" s="226">
        <v>340000</v>
      </c>
      <c r="L133" s="226">
        <v>492426</v>
      </c>
      <c r="M133" s="226">
        <v>604675</v>
      </c>
      <c r="N133" s="227">
        <v>490911.3</v>
      </c>
    </row>
    <row r="134" spans="1:14">
      <c r="A134" s="225" t="s">
        <v>583</v>
      </c>
      <c r="B134" s="225" t="s">
        <v>584</v>
      </c>
      <c r="C134" s="225">
        <v>100</v>
      </c>
      <c r="D134" s="225" t="s">
        <v>585</v>
      </c>
      <c r="E134" s="225">
        <v>17</v>
      </c>
      <c r="F134" s="225" t="s">
        <v>520</v>
      </c>
      <c r="G134" s="225">
        <v>5</v>
      </c>
      <c r="H134" s="225" t="s">
        <v>349</v>
      </c>
      <c r="I134" s="225" t="s">
        <v>586</v>
      </c>
      <c r="J134" s="228">
        <v>25</v>
      </c>
      <c r="K134" s="226">
        <v>184068</v>
      </c>
      <c r="L134" s="226">
        <v>213893</v>
      </c>
      <c r="M134" s="226">
        <v>229693</v>
      </c>
      <c r="N134" s="227">
        <v>209102.4</v>
      </c>
    </row>
    <row r="135" spans="1:14">
      <c r="A135" s="225" t="s">
        <v>583</v>
      </c>
      <c r="B135" s="225" t="s">
        <v>584</v>
      </c>
      <c r="C135" s="225">
        <v>100</v>
      </c>
      <c r="D135" s="225" t="s">
        <v>585</v>
      </c>
      <c r="E135" s="225">
        <v>17</v>
      </c>
      <c r="F135" s="225" t="s">
        <v>520</v>
      </c>
      <c r="G135" s="225">
        <v>4</v>
      </c>
      <c r="H135" s="225" t="s">
        <v>382</v>
      </c>
      <c r="I135" s="225" t="s">
        <v>586</v>
      </c>
      <c r="J135" s="228">
        <v>324</v>
      </c>
      <c r="K135" s="226">
        <v>183620</v>
      </c>
      <c r="L135" s="226">
        <v>201159</v>
      </c>
      <c r="M135" s="226">
        <v>221457</v>
      </c>
      <c r="N135" s="227">
        <v>206723.6</v>
      </c>
    </row>
    <row r="136" spans="1:14">
      <c r="A136" s="225" t="s">
        <v>583</v>
      </c>
      <c r="B136" s="225" t="s">
        <v>584</v>
      </c>
      <c r="C136" s="225">
        <v>100</v>
      </c>
      <c r="D136" s="225" t="s">
        <v>585</v>
      </c>
      <c r="E136" s="225">
        <v>17</v>
      </c>
      <c r="F136" s="225" t="s">
        <v>520</v>
      </c>
      <c r="G136" s="225">
        <v>3</v>
      </c>
      <c r="H136" s="225" t="s">
        <v>383</v>
      </c>
      <c r="I136" s="225" t="s">
        <v>586</v>
      </c>
      <c r="J136" s="228">
        <v>174</v>
      </c>
      <c r="K136" s="226">
        <v>208173</v>
      </c>
      <c r="L136" s="226">
        <v>226716</v>
      </c>
      <c r="M136" s="226">
        <v>253119</v>
      </c>
      <c r="N136" s="227">
        <v>240227.4</v>
      </c>
    </row>
    <row r="137" spans="1:14">
      <c r="A137" s="225" t="s">
        <v>583</v>
      </c>
      <c r="B137" s="225" t="s">
        <v>584</v>
      </c>
      <c r="C137" s="225">
        <v>100</v>
      </c>
      <c r="D137" s="225" t="s">
        <v>585</v>
      </c>
      <c r="E137" s="225">
        <v>17</v>
      </c>
      <c r="F137" s="225" t="s">
        <v>520</v>
      </c>
      <c r="G137" s="225">
        <v>2</v>
      </c>
      <c r="H137" s="225" t="s">
        <v>352</v>
      </c>
      <c r="I137" s="225" t="s">
        <v>586</v>
      </c>
      <c r="J137" s="228">
        <v>126</v>
      </c>
      <c r="K137" s="226">
        <v>239618</v>
      </c>
      <c r="L137" s="226">
        <v>262608</v>
      </c>
      <c r="M137" s="226">
        <v>313363</v>
      </c>
      <c r="N137" s="227">
        <v>276578.90000000002</v>
      </c>
    </row>
    <row r="138" spans="1:14">
      <c r="A138" s="225" t="s">
        <v>583</v>
      </c>
      <c r="B138" s="225" t="s">
        <v>584</v>
      </c>
      <c r="C138" s="225">
        <v>100</v>
      </c>
      <c r="D138" s="225" t="s">
        <v>585</v>
      </c>
      <c r="E138" s="225">
        <v>17</v>
      </c>
      <c r="F138" s="225" t="s">
        <v>520</v>
      </c>
      <c r="G138" s="225">
        <v>6</v>
      </c>
      <c r="H138" s="225" t="s">
        <v>385</v>
      </c>
      <c r="I138" s="225" t="s">
        <v>586</v>
      </c>
      <c r="J138" s="228">
        <v>32</v>
      </c>
      <c r="K138" s="226">
        <v>287215</v>
      </c>
      <c r="L138" s="226">
        <v>316344</v>
      </c>
      <c r="M138" s="226">
        <v>361472</v>
      </c>
      <c r="N138" s="227">
        <v>329995.59999999998</v>
      </c>
    </row>
    <row r="139" spans="1:14">
      <c r="A139" s="225" t="s">
        <v>583</v>
      </c>
      <c r="B139" s="225" t="s">
        <v>584</v>
      </c>
      <c r="C139" s="225">
        <v>100</v>
      </c>
      <c r="D139" s="225" t="s">
        <v>585</v>
      </c>
      <c r="E139" s="225">
        <v>17</v>
      </c>
      <c r="F139" s="225" t="s">
        <v>520</v>
      </c>
      <c r="G139" s="225">
        <v>1</v>
      </c>
      <c r="H139" s="225" t="s">
        <v>384</v>
      </c>
      <c r="I139" s="225" t="s">
        <v>586</v>
      </c>
      <c r="J139" s="228">
        <v>6</v>
      </c>
      <c r="K139" s="226">
        <v>330526</v>
      </c>
      <c r="L139" s="226">
        <v>397827</v>
      </c>
      <c r="M139" s="226">
        <v>452500</v>
      </c>
      <c r="N139" s="227">
        <v>399199.2</v>
      </c>
    </row>
    <row r="140" spans="1:14">
      <c r="A140" s="225" t="s">
        <v>583</v>
      </c>
      <c r="B140" s="225" t="s">
        <v>584</v>
      </c>
      <c r="C140" s="225">
        <v>100</v>
      </c>
      <c r="D140" s="225" t="s">
        <v>585</v>
      </c>
      <c r="E140" s="225">
        <v>18</v>
      </c>
      <c r="F140" s="225" t="s">
        <v>521</v>
      </c>
      <c r="G140" s="225">
        <v>5</v>
      </c>
      <c r="H140" s="225" t="s">
        <v>349</v>
      </c>
      <c r="I140" s="225" t="s">
        <v>586</v>
      </c>
      <c r="J140" s="228">
        <v>134</v>
      </c>
      <c r="K140" s="226">
        <v>143200</v>
      </c>
      <c r="L140" s="226">
        <v>202500</v>
      </c>
      <c r="M140" s="226">
        <v>256479</v>
      </c>
      <c r="N140" s="227">
        <v>215209.9</v>
      </c>
    </row>
    <row r="141" spans="1:14">
      <c r="A141" s="225" t="s">
        <v>583</v>
      </c>
      <c r="B141" s="225" t="s">
        <v>584</v>
      </c>
      <c r="C141" s="225">
        <v>100</v>
      </c>
      <c r="D141" s="225" t="s">
        <v>585</v>
      </c>
      <c r="E141" s="225">
        <v>18</v>
      </c>
      <c r="F141" s="225" t="s">
        <v>521</v>
      </c>
      <c r="G141" s="225">
        <v>4</v>
      </c>
      <c r="H141" s="225" t="s">
        <v>382</v>
      </c>
      <c r="I141" s="225" t="s">
        <v>586</v>
      </c>
      <c r="J141" s="226">
        <v>1304</v>
      </c>
      <c r="K141" s="226">
        <v>225175</v>
      </c>
      <c r="L141" s="226">
        <v>262387</v>
      </c>
      <c r="M141" s="226">
        <v>336622</v>
      </c>
      <c r="N141" s="227">
        <v>301071.40000000002</v>
      </c>
    </row>
    <row r="142" spans="1:14">
      <c r="A142" s="225" t="s">
        <v>583</v>
      </c>
      <c r="B142" s="225" t="s">
        <v>584</v>
      </c>
      <c r="C142" s="225">
        <v>100</v>
      </c>
      <c r="D142" s="225" t="s">
        <v>585</v>
      </c>
      <c r="E142" s="225">
        <v>18</v>
      </c>
      <c r="F142" s="225" t="s">
        <v>521</v>
      </c>
      <c r="G142" s="225">
        <v>3</v>
      </c>
      <c r="H142" s="225" t="s">
        <v>383</v>
      </c>
      <c r="I142" s="225" t="s">
        <v>586</v>
      </c>
      <c r="J142" s="228">
        <v>785</v>
      </c>
      <c r="K142" s="226">
        <v>268576</v>
      </c>
      <c r="L142" s="226">
        <v>310000</v>
      </c>
      <c r="M142" s="226">
        <v>380792</v>
      </c>
      <c r="N142" s="227">
        <v>342013.9</v>
      </c>
    </row>
    <row r="143" spans="1:14">
      <c r="A143" s="225" t="s">
        <v>583</v>
      </c>
      <c r="B143" s="225" t="s">
        <v>584</v>
      </c>
      <c r="C143" s="225">
        <v>100</v>
      </c>
      <c r="D143" s="225" t="s">
        <v>585</v>
      </c>
      <c r="E143" s="225">
        <v>18</v>
      </c>
      <c r="F143" s="225" t="s">
        <v>521</v>
      </c>
      <c r="G143" s="225">
        <v>2</v>
      </c>
      <c r="H143" s="225" t="s">
        <v>352</v>
      </c>
      <c r="I143" s="225" t="s">
        <v>586</v>
      </c>
      <c r="J143" s="228">
        <v>830</v>
      </c>
      <c r="K143" s="226">
        <v>312880</v>
      </c>
      <c r="L143" s="226">
        <v>380296</v>
      </c>
      <c r="M143" s="226">
        <v>471054</v>
      </c>
      <c r="N143" s="227">
        <v>411248.3</v>
      </c>
    </row>
    <row r="144" spans="1:14">
      <c r="A144" s="225" t="s">
        <v>583</v>
      </c>
      <c r="B144" s="225" t="s">
        <v>584</v>
      </c>
      <c r="C144" s="225">
        <v>100</v>
      </c>
      <c r="D144" s="225" t="s">
        <v>585</v>
      </c>
      <c r="E144" s="225">
        <v>18</v>
      </c>
      <c r="F144" s="225" t="s">
        <v>521</v>
      </c>
      <c r="G144" s="225">
        <v>6</v>
      </c>
      <c r="H144" s="225" t="s">
        <v>385</v>
      </c>
      <c r="I144" s="225" t="s">
        <v>586</v>
      </c>
      <c r="J144" s="228">
        <v>68</v>
      </c>
      <c r="K144" s="226">
        <v>399294</v>
      </c>
      <c r="L144" s="226">
        <v>477000</v>
      </c>
      <c r="M144" s="226">
        <v>590101</v>
      </c>
      <c r="N144" s="227">
        <v>509732.1</v>
      </c>
    </row>
    <row r="145" spans="1:14">
      <c r="A145" s="225" t="s">
        <v>583</v>
      </c>
      <c r="B145" s="225" t="s">
        <v>584</v>
      </c>
      <c r="C145" s="225">
        <v>100</v>
      </c>
      <c r="D145" s="225" t="s">
        <v>585</v>
      </c>
      <c r="E145" s="225">
        <v>18</v>
      </c>
      <c r="F145" s="225" t="s">
        <v>521</v>
      </c>
      <c r="G145" s="225">
        <v>1</v>
      </c>
      <c r="H145" s="225" t="s">
        <v>384</v>
      </c>
      <c r="I145" s="225" t="s">
        <v>586</v>
      </c>
      <c r="J145" s="228">
        <v>17</v>
      </c>
      <c r="K145" s="226">
        <v>650000</v>
      </c>
      <c r="L145" s="226">
        <v>738116</v>
      </c>
      <c r="M145" s="226">
        <v>839093</v>
      </c>
      <c r="N145" s="227">
        <v>735940.6</v>
      </c>
    </row>
    <row r="146" spans="1:14">
      <c r="A146" s="225" t="s">
        <v>583</v>
      </c>
      <c r="B146" s="225" t="s">
        <v>584</v>
      </c>
      <c r="C146" s="225">
        <v>100</v>
      </c>
      <c r="D146" s="225" t="s">
        <v>585</v>
      </c>
      <c r="E146" s="225">
        <v>93</v>
      </c>
      <c r="F146" s="225" t="s">
        <v>523</v>
      </c>
      <c r="G146" s="225">
        <v>5</v>
      </c>
      <c r="H146" s="225" t="s">
        <v>349</v>
      </c>
      <c r="I146" s="225" t="s">
        <v>586</v>
      </c>
      <c r="J146" s="228">
        <v>532</v>
      </c>
      <c r="K146" s="226">
        <v>207053</v>
      </c>
      <c r="L146" s="226">
        <v>231550</v>
      </c>
      <c r="M146" s="226">
        <v>263176</v>
      </c>
      <c r="N146" s="227">
        <v>238888</v>
      </c>
    </row>
    <row r="147" spans="1:14">
      <c r="A147" s="225" t="s">
        <v>583</v>
      </c>
      <c r="B147" s="225" t="s">
        <v>584</v>
      </c>
      <c r="C147" s="225">
        <v>100</v>
      </c>
      <c r="D147" s="225" t="s">
        <v>585</v>
      </c>
      <c r="E147" s="225">
        <v>93</v>
      </c>
      <c r="F147" s="225" t="s">
        <v>523</v>
      </c>
      <c r="G147" s="225">
        <v>4</v>
      </c>
      <c r="H147" s="225" t="s">
        <v>382</v>
      </c>
      <c r="I147" s="225" t="s">
        <v>586</v>
      </c>
      <c r="J147" s="226">
        <v>2241</v>
      </c>
      <c r="K147" s="226">
        <v>227669</v>
      </c>
      <c r="L147" s="226">
        <v>250049</v>
      </c>
      <c r="M147" s="226">
        <v>278672</v>
      </c>
      <c r="N147" s="227">
        <v>260959.2</v>
      </c>
    </row>
    <row r="148" spans="1:14">
      <c r="A148" s="225" t="s">
        <v>583</v>
      </c>
      <c r="B148" s="225" t="s">
        <v>584</v>
      </c>
      <c r="C148" s="225">
        <v>100</v>
      </c>
      <c r="D148" s="225" t="s">
        <v>585</v>
      </c>
      <c r="E148" s="225">
        <v>93</v>
      </c>
      <c r="F148" s="225" t="s">
        <v>523</v>
      </c>
      <c r="G148" s="225">
        <v>3</v>
      </c>
      <c r="H148" s="225" t="s">
        <v>383</v>
      </c>
      <c r="I148" s="225" t="s">
        <v>586</v>
      </c>
      <c r="J148" s="228">
        <v>376</v>
      </c>
      <c r="K148" s="226">
        <v>242371</v>
      </c>
      <c r="L148" s="226">
        <v>263435</v>
      </c>
      <c r="M148" s="226">
        <v>312315</v>
      </c>
      <c r="N148" s="227">
        <v>288735.2</v>
      </c>
    </row>
    <row r="149" spans="1:14">
      <c r="A149" s="225" t="s">
        <v>583</v>
      </c>
      <c r="B149" s="225" t="s">
        <v>584</v>
      </c>
      <c r="C149" s="225">
        <v>100</v>
      </c>
      <c r="D149" s="225" t="s">
        <v>585</v>
      </c>
      <c r="E149" s="225">
        <v>93</v>
      </c>
      <c r="F149" s="225" t="s">
        <v>523</v>
      </c>
      <c r="G149" s="225">
        <v>2</v>
      </c>
      <c r="H149" s="225" t="s">
        <v>352</v>
      </c>
      <c r="I149" s="225" t="s">
        <v>586</v>
      </c>
      <c r="J149" s="228">
        <v>119</v>
      </c>
      <c r="K149" s="226">
        <v>268324</v>
      </c>
      <c r="L149" s="226">
        <v>303703</v>
      </c>
      <c r="M149" s="226">
        <v>352214</v>
      </c>
      <c r="N149" s="227">
        <v>322674.5</v>
      </c>
    </row>
    <row r="150" spans="1:14">
      <c r="A150" s="225" t="s">
        <v>583</v>
      </c>
      <c r="B150" s="225" t="s">
        <v>584</v>
      </c>
      <c r="C150" s="225">
        <v>100</v>
      </c>
      <c r="D150" s="225" t="s">
        <v>585</v>
      </c>
      <c r="E150" s="225">
        <v>93</v>
      </c>
      <c r="F150" s="225" t="s">
        <v>523</v>
      </c>
      <c r="G150" s="225">
        <v>6</v>
      </c>
      <c r="H150" s="225" t="s">
        <v>385</v>
      </c>
      <c r="I150" s="225" t="s">
        <v>586</v>
      </c>
      <c r="J150" s="228">
        <v>37</v>
      </c>
      <c r="K150" s="226">
        <v>307006</v>
      </c>
      <c r="L150" s="226">
        <v>361530</v>
      </c>
      <c r="M150" s="226">
        <v>409784</v>
      </c>
      <c r="N150" s="227">
        <v>367628</v>
      </c>
    </row>
    <row r="151" spans="1:14">
      <c r="A151" s="225" t="s">
        <v>583</v>
      </c>
      <c r="B151" s="225" t="s">
        <v>584</v>
      </c>
      <c r="C151" s="225">
        <v>100</v>
      </c>
      <c r="D151" s="225" t="s">
        <v>585</v>
      </c>
      <c r="E151" s="225">
        <v>93</v>
      </c>
      <c r="F151" s="225" t="s">
        <v>523</v>
      </c>
      <c r="G151" s="225">
        <v>1</v>
      </c>
      <c r="H151" s="225" t="s">
        <v>384</v>
      </c>
      <c r="I151" s="225" t="s">
        <v>586</v>
      </c>
      <c r="J151" s="228">
        <v>5</v>
      </c>
      <c r="K151" s="226">
        <v>307500</v>
      </c>
      <c r="L151" s="226">
        <v>449647</v>
      </c>
      <c r="M151" s="226">
        <v>1208270</v>
      </c>
      <c r="N151" s="227">
        <v>696237.2</v>
      </c>
    </row>
    <row r="152" spans="1:14">
      <c r="A152" s="225" t="s">
        <v>583</v>
      </c>
      <c r="B152" s="225" t="s">
        <v>584</v>
      </c>
      <c r="C152" s="225">
        <v>100</v>
      </c>
      <c r="D152" s="225" t="s">
        <v>585</v>
      </c>
      <c r="E152" s="225">
        <v>19</v>
      </c>
      <c r="F152" s="225" t="s">
        <v>525</v>
      </c>
      <c r="G152" s="225">
        <v>5</v>
      </c>
      <c r="H152" s="225" t="s">
        <v>349</v>
      </c>
      <c r="I152" s="225" t="s">
        <v>586</v>
      </c>
      <c r="J152" s="228">
        <v>82</v>
      </c>
      <c r="K152" s="226">
        <v>113002</v>
      </c>
      <c r="L152" s="226">
        <v>163000</v>
      </c>
      <c r="M152" s="226">
        <v>197496</v>
      </c>
      <c r="N152" s="227">
        <v>160685.20000000001</v>
      </c>
    </row>
    <row r="153" spans="1:14">
      <c r="A153" s="225" t="s">
        <v>583</v>
      </c>
      <c r="B153" s="225" t="s">
        <v>584</v>
      </c>
      <c r="C153" s="225">
        <v>100</v>
      </c>
      <c r="D153" s="225" t="s">
        <v>585</v>
      </c>
      <c r="E153" s="225">
        <v>19</v>
      </c>
      <c r="F153" s="225" t="s">
        <v>525</v>
      </c>
      <c r="G153" s="225">
        <v>4</v>
      </c>
      <c r="H153" s="225" t="s">
        <v>382</v>
      </c>
      <c r="I153" s="225" t="s">
        <v>586</v>
      </c>
      <c r="J153" s="228">
        <v>759</v>
      </c>
      <c r="K153" s="226">
        <v>169627</v>
      </c>
      <c r="L153" s="226">
        <v>186245</v>
      </c>
      <c r="M153" s="226">
        <v>215914</v>
      </c>
      <c r="N153" s="227">
        <v>198069.7</v>
      </c>
    </row>
    <row r="154" spans="1:14">
      <c r="A154" s="225" t="s">
        <v>583</v>
      </c>
      <c r="B154" s="225" t="s">
        <v>584</v>
      </c>
      <c r="C154" s="225">
        <v>100</v>
      </c>
      <c r="D154" s="225" t="s">
        <v>585</v>
      </c>
      <c r="E154" s="225">
        <v>19</v>
      </c>
      <c r="F154" s="225" t="s">
        <v>525</v>
      </c>
      <c r="G154" s="225">
        <v>3</v>
      </c>
      <c r="H154" s="225" t="s">
        <v>383</v>
      </c>
      <c r="I154" s="225" t="s">
        <v>586</v>
      </c>
      <c r="J154" s="228">
        <v>487</v>
      </c>
      <c r="K154" s="226">
        <v>192734</v>
      </c>
      <c r="L154" s="226">
        <v>216817</v>
      </c>
      <c r="M154" s="226">
        <v>251000</v>
      </c>
      <c r="N154" s="227">
        <v>227301.3</v>
      </c>
    </row>
    <row r="155" spans="1:14">
      <c r="A155" s="225" t="s">
        <v>583</v>
      </c>
      <c r="B155" s="225" t="s">
        <v>584</v>
      </c>
      <c r="C155" s="225">
        <v>100</v>
      </c>
      <c r="D155" s="225" t="s">
        <v>585</v>
      </c>
      <c r="E155" s="225">
        <v>19</v>
      </c>
      <c r="F155" s="225" t="s">
        <v>525</v>
      </c>
      <c r="G155" s="225">
        <v>2</v>
      </c>
      <c r="H155" s="225" t="s">
        <v>352</v>
      </c>
      <c r="I155" s="225" t="s">
        <v>586</v>
      </c>
      <c r="J155" s="228">
        <v>465</v>
      </c>
      <c r="K155" s="226">
        <v>236911</v>
      </c>
      <c r="L155" s="226">
        <v>271261</v>
      </c>
      <c r="M155" s="226">
        <v>321077</v>
      </c>
      <c r="N155" s="227">
        <v>289100.40000000002</v>
      </c>
    </row>
    <row r="156" spans="1:14">
      <c r="A156" s="225" t="s">
        <v>583</v>
      </c>
      <c r="B156" s="225" t="s">
        <v>584</v>
      </c>
      <c r="C156" s="225">
        <v>100</v>
      </c>
      <c r="D156" s="225" t="s">
        <v>585</v>
      </c>
      <c r="E156" s="225">
        <v>19</v>
      </c>
      <c r="F156" s="225" t="s">
        <v>525</v>
      </c>
      <c r="G156" s="225">
        <v>6</v>
      </c>
      <c r="H156" s="225" t="s">
        <v>385</v>
      </c>
      <c r="I156" s="225" t="s">
        <v>586</v>
      </c>
      <c r="J156" s="228">
        <v>71</v>
      </c>
      <c r="K156" s="226">
        <v>273000</v>
      </c>
      <c r="L156" s="226">
        <v>327260</v>
      </c>
      <c r="M156" s="226">
        <v>381489</v>
      </c>
      <c r="N156" s="227">
        <v>330227.90000000002</v>
      </c>
    </row>
    <row r="157" spans="1:14">
      <c r="A157" s="225" t="s">
        <v>583</v>
      </c>
      <c r="B157" s="225" t="s">
        <v>584</v>
      </c>
      <c r="C157" s="225">
        <v>100</v>
      </c>
      <c r="D157" s="225" t="s">
        <v>585</v>
      </c>
      <c r="E157" s="225">
        <v>19</v>
      </c>
      <c r="F157" s="225" t="s">
        <v>525</v>
      </c>
      <c r="G157" s="225">
        <v>1</v>
      </c>
      <c r="H157" s="225" t="s">
        <v>384</v>
      </c>
      <c r="I157" s="225" t="s">
        <v>586</v>
      </c>
      <c r="J157" s="228">
        <v>16</v>
      </c>
      <c r="K157" s="226">
        <v>382211</v>
      </c>
      <c r="L157" s="226">
        <v>616055</v>
      </c>
      <c r="M157" s="226">
        <v>737470</v>
      </c>
      <c r="N157" s="227">
        <v>580543.69999999995</v>
      </c>
    </row>
    <row r="158" spans="1:14">
      <c r="A158" s="225" t="s">
        <v>583</v>
      </c>
      <c r="B158" s="225" t="s">
        <v>584</v>
      </c>
      <c r="C158" s="225">
        <v>100</v>
      </c>
      <c r="D158" s="225" t="s">
        <v>585</v>
      </c>
      <c r="E158" s="225">
        <v>20</v>
      </c>
      <c r="F158" s="225" t="s">
        <v>528</v>
      </c>
      <c r="G158" s="225">
        <v>5</v>
      </c>
      <c r="H158" s="225" t="s">
        <v>349</v>
      </c>
      <c r="I158" s="225" t="s">
        <v>586</v>
      </c>
      <c r="J158" s="228">
        <v>62</v>
      </c>
      <c r="K158" s="226">
        <v>120000</v>
      </c>
      <c r="L158" s="226">
        <v>166838</v>
      </c>
      <c r="M158" s="226">
        <v>201760</v>
      </c>
      <c r="N158" s="227">
        <v>166964.1</v>
      </c>
    </row>
    <row r="159" spans="1:14">
      <c r="A159" s="225" t="s">
        <v>583</v>
      </c>
      <c r="B159" s="225" t="s">
        <v>584</v>
      </c>
      <c r="C159" s="225">
        <v>100</v>
      </c>
      <c r="D159" s="225" t="s">
        <v>585</v>
      </c>
      <c r="E159" s="225">
        <v>20</v>
      </c>
      <c r="F159" s="225" t="s">
        <v>528</v>
      </c>
      <c r="G159" s="225">
        <v>4</v>
      </c>
      <c r="H159" s="225" t="s">
        <v>382</v>
      </c>
      <c r="I159" s="225" t="s">
        <v>586</v>
      </c>
      <c r="J159" s="228">
        <v>638</v>
      </c>
      <c r="K159" s="226">
        <v>194075</v>
      </c>
      <c r="L159" s="226">
        <v>221264</v>
      </c>
      <c r="M159" s="226">
        <v>267500</v>
      </c>
      <c r="N159" s="227">
        <v>236064.6</v>
      </c>
    </row>
    <row r="160" spans="1:14">
      <c r="A160" s="225" t="s">
        <v>583</v>
      </c>
      <c r="B160" s="225" t="s">
        <v>584</v>
      </c>
      <c r="C160" s="225">
        <v>100</v>
      </c>
      <c r="D160" s="225" t="s">
        <v>585</v>
      </c>
      <c r="E160" s="225">
        <v>20</v>
      </c>
      <c r="F160" s="225" t="s">
        <v>528</v>
      </c>
      <c r="G160" s="225">
        <v>3</v>
      </c>
      <c r="H160" s="225" t="s">
        <v>383</v>
      </c>
      <c r="I160" s="225" t="s">
        <v>586</v>
      </c>
      <c r="J160" s="228">
        <v>409</v>
      </c>
      <c r="K160" s="226">
        <v>229632</v>
      </c>
      <c r="L160" s="226">
        <v>265452</v>
      </c>
      <c r="M160" s="226">
        <v>313691</v>
      </c>
      <c r="N160" s="227">
        <v>279547.5</v>
      </c>
    </row>
    <row r="161" spans="1:14">
      <c r="A161" s="225" t="s">
        <v>583</v>
      </c>
      <c r="B161" s="225" t="s">
        <v>584</v>
      </c>
      <c r="C161" s="225">
        <v>100</v>
      </c>
      <c r="D161" s="225" t="s">
        <v>585</v>
      </c>
      <c r="E161" s="225">
        <v>20</v>
      </c>
      <c r="F161" s="225" t="s">
        <v>528</v>
      </c>
      <c r="G161" s="225">
        <v>2</v>
      </c>
      <c r="H161" s="225" t="s">
        <v>352</v>
      </c>
      <c r="I161" s="225" t="s">
        <v>586</v>
      </c>
      <c r="J161" s="228">
        <v>318</v>
      </c>
      <c r="K161" s="226">
        <v>263856</v>
      </c>
      <c r="L161" s="226">
        <v>314406</v>
      </c>
      <c r="M161" s="226">
        <v>372507</v>
      </c>
      <c r="N161" s="227">
        <v>322838.3</v>
      </c>
    </row>
    <row r="162" spans="1:14">
      <c r="A162" s="225" t="s">
        <v>583</v>
      </c>
      <c r="B162" s="225" t="s">
        <v>584</v>
      </c>
      <c r="C162" s="225">
        <v>100</v>
      </c>
      <c r="D162" s="225" t="s">
        <v>585</v>
      </c>
      <c r="E162" s="225">
        <v>20</v>
      </c>
      <c r="F162" s="225" t="s">
        <v>528</v>
      </c>
      <c r="G162" s="225">
        <v>6</v>
      </c>
      <c r="H162" s="225" t="s">
        <v>385</v>
      </c>
      <c r="I162" s="225" t="s">
        <v>586</v>
      </c>
      <c r="J162" s="228">
        <v>62</v>
      </c>
      <c r="K162" s="226">
        <v>345934</v>
      </c>
      <c r="L162" s="226">
        <v>387281</v>
      </c>
      <c r="M162" s="226">
        <v>426911</v>
      </c>
      <c r="N162" s="227">
        <v>397332.5</v>
      </c>
    </row>
    <row r="163" spans="1:14">
      <c r="A163" s="225" t="s">
        <v>583</v>
      </c>
      <c r="B163" s="225" t="s">
        <v>584</v>
      </c>
      <c r="C163" s="225">
        <v>100</v>
      </c>
      <c r="D163" s="225" t="s">
        <v>585</v>
      </c>
      <c r="E163" s="225">
        <v>20</v>
      </c>
      <c r="F163" s="225" t="s">
        <v>528</v>
      </c>
      <c r="G163" s="225">
        <v>1</v>
      </c>
      <c r="H163" s="225" t="s">
        <v>384</v>
      </c>
      <c r="I163" s="225" t="s">
        <v>586</v>
      </c>
      <c r="J163" s="228">
        <v>14</v>
      </c>
      <c r="K163" s="226">
        <v>419812</v>
      </c>
      <c r="L163" s="226">
        <v>566000</v>
      </c>
      <c r="M163" s="226">
        <v>840261</v>
      </c>
      <c r="N163" s="227">
        <v>596809.6</v>
      </c>
    </row>
    <row r="164" spans="1:14">
      <c r="A164" s="225" t="s">
        <v>583</v>
      </c>
      <c r="B164" s="225" t="s">
        <v>584</v>
      </c>
      <c r="C164" s="225">
        <v>100</v>
      </c>
      <c r="D164" s="225" t="s">
        <v>585</v>
      </c>
      <c r="E164" s="225">
        <v>22</v>
      </c>
      <c r="F164" s="225" t="s">
        <v>552</v>
      </c>
      <c r="G164" s="225">
        <v>5</v>
      </c>
      <c r="H164" s="225" t="s">
        <v>349</v>
      </c>
      <c r="I164" s="225" t="s">
        <v>586</v>
      </c>
      <c r="J164" s="228">
        <v>110</v>
      </c>
      <c r="K164" s="226">
        <v>152250</v>
      </c>
      <c r="L164" s="226">
        <v>212904</v>
      </c>
      <c r="M164" s="226">
        <v>265000</v>
      </c>
      <c r="N164" s="227">
        <v>219157.2</v>
      </c>
    </row>
    <row r="165" spans="1:14">
      <c r="A165" s="225" t="s">
        <v>583</v>
      </c>
      <c r="B165" s="225" t="s">
        <v>584</v>
      </c>
      <c r="C165" s="225">
        <v>100</v>
      </c>
      <c r="D165" s="225" t="s">
        <v>585</v>
      </c>
      <c r="E165" s="225">
        <v>22</v>
      </c>
      <c r="F165" s="225" t="s">
        <v>552</v>
      </c>
      <c r="G165" s="225">
        <v>4</v>
      </c>
      <c r="H165" s="225" t="s">
        <v>382</v>
      </c>
      <c r="I165" s="225" t="s">
        <v>586</v>
      </c>
      <c r="J165" s="226">
        <v>1025</v>
      </c>
      <c r="K165" s="226">
        <v>224829</v>
      </c>
      <c r="L165" s="226">
        <v>269900</v>
      </c>
      <c r="M165" s="226">
        <v>328907</v>
      </c>
      <c r="N165" s="227">
        <v>291289.8</v>
      </c>
    </row>
    <row r="166" spans="1:14">
      <c r="A166" s="225" t="s">
        <v>583</v>
      </c>
      <c r="B166" s="225" t="s">
        <v>584</v>
      </c>
      <c r="C166" s="225">
        <v>100</v>
      </c>
      <c r="D166" s="225" t="s">
        <v>585</v>
      </c>
      <c r="E166" s="225">
        <v>22</v>
      </c>
      <c r="F166" s="225" t="s">
        <v>552</v>
      </c>
      <c r="G166" s="225">
        <v>3</v>
      </c>
      <c r="H166" s="225" t="s">
        <v>383</v>
      </c>
      <c r="I166" s="225" t="s">
        <v>586</v>
      </c>
      <c r="J166" s="228">
        <v>537</v>
      </c>
      <c r="K166" s="226">
        <v>249818</v>
      </c>
      <c r="L166" s="226">
        <v>294695</v>
      </c>
      <c r="M166" s="226">
        <v>358337</v>
      </c>
      <c r="N166" s="227">
        <v>313456.5</v>
      </c>
    </row>
    <row r="167" spans="1:14">
      <c r="A167" s="225" t="s">
        <v>583</v>
      </c>
      <c r="B167" s="225" t="s">
        <v>584</v>
      </c>
      <c r="C167" s="225">
        <v>100</v>
      </c>
      <c r="D167" s="225" t="s">
        <v>585</v>
      </c>
      <c r="E167" s="225">
        <v>22</v>
      </c>
      <c r="F167" s="225" t="s">
        <v>552</v>
      </c>
      <c r="G167" s="225">
        <v>2</v>
      </c>
      <c r="H167" s="225" t="s">
        <v>352</v>
      </c>
      <c r="I167" s="225" t="s">
        <v>586</v>
      </c>
      <c r="J167" s="228">
        <v>417</v>
      </c>
      <c r="K167" s="226">
        <v>270634</v>
      </c>
      <c r="L167" s="226">
        <v>324224</v>
      </c>
      <c r="M167" s="226">
        <v>389543</v>
      </c>
      <c r="N167" s="227">
        <v>341894.9</v>
      </c>
    </row>
    <row r="168" spans="1:14">
      <c r="A168" s="225" t="s">
        <v>583</v>
      </c>
      <c r="B168" s="225" t="s">
        <v>584</v>
      </c>
      <c r="C168" s="225">
        <v>100</v>
      </c>
      <c r="D168" s="225" t="s">
        <v>585</v>
      </c>
      <c r="E168" s="225">
        <v>22</v>
      </c>
      <c r="F168" s="225" t="s">
        <v>552</v>
      </c>
      <c r="G168" s="225">
        <v>6</v>
      </c>
      <c r="H168" s="225" t="s">
        <v>385</v>
      </c>
      <c r="I168" s="225" t="s">
        <v>586</v>
      </c>
      <c r="J168" s="228">
        <v>48</v>
      </c>
      <c r="K168" s="226">
        <v>360250</v>
      </c>
      <c r="L168" s="226">
        <v>399202</v>
      </c>
      <c r="M168" s="226">
        <v>478098</v>
      </c>
      <c r="N168" s="227">
        <v>426031.8</v>
      </c>
    </row>
    <row r="169" spans="1:14">
      <c r="A169" s="225" t="s">
        <v>583</v>
      </c>
      <c r="B169" s="225" t="s">
        <v>584</v>
      </c>
      <c r="C169" s="225">
        <v>100</v>
      </c>
      <c r="D169" s="225" t="s">
        <v>585</v>
      </c>
      <c r="E169" s="225">
        <v>22</v>
      </c>
      <c r="F169" s="225" t="s">
        <v>552</v>
      </c>
      <c r="G169" s="225">
        <v>1</v>
      </c>
      <c r="H169" s="225" t="s">
        <v>384</v>
      </c>
      <c r="I169" s="225" t="s">
        <v>586</v>
      </c>
      <c r="J169" s="228">
        <v>10</v>
      </c>
      <c r="K169" s="226">
        <v>502086</v>
      </c>
      <c r="L169" s="226">
        <v>649979</v>
      </c>
      <c r="M169" s="226">
        <v>690829</v>
      </c>
      <c r="N169" s="227">
        <v>654952.1</v>
      </c>
    </row>
    <row r="170" spans="1:14">
      <c r="A170" s="225" t="s">
        <v>583</v>
      </c>
      <c r="B170" s="225" t="s">
        <v>584</v>
      </c>
      <c r="C170" s="225">
        <v>100</v>
      </c>
      <c r="D170" s="225" t="s">
        <v>585</v>
      </c>
      <c r="E170" s="225">
        <v>21</v>
      </c>
      <c r="F170" s="225" t="s">
        <v>554</v>
      </c>
      <c r="G170" s="225">
        <v>5</v>
      </c>
      <c r="H170" s="225" t="s">
        <v>349</v>
      </c>
      <c r="I170" s="225" t="s">
        <v>586</v>
      </c>
      <c r="J170" s="228">
        <v>30</v>
      </c>
      <c r="K170" s="226">
        <v>118333</v>
      </c>
      <c r="L170" s="226">
        <v>156974</v>
      </c>
      <c r="M170" s="226">
        <v>204946</v>
      </c>
      <c r="N170" s="227">
        <v>173982</v>
      </c>
    </row>
    <row r="171" spans="1:14">
      <c r="A171" s="225" t="s">
        <v>583</v>
      </c>
      <c r="B171" s="225" t="s">
        <v>584</v>
      </c>
      <c r="C171" s="225">
        <v>100</v>
      </c>
      <c r="D171" s="225" t="s">
        <v>585</v>
      </c>
      <c r="E171" s="225">
        <v>21</v>
      </c>
      <c r="F171" s="225" t="s">
        <v>554</v>
      </c>
      <c r="G171" s="225">
        <v>4</v>
      </c>
      <c r="H171" s="225" t="s">
        <v>382</v>
      </c>
      <c r="I171" s="225" t="s">
        <v>586</v>
      </c>
      <c r="J171" s="228">
        <v>337</v>
      </c>
      <c r="K171" s="226">
        <v>174559</v>
      </c>
      <c r="L171" s="226">
        <v>192850</v>
      </c>
      <c r="M171" s="226">
        <v>228953</v>
      </c>
      <c r="N171" s="227">
        <v>203276.9</v>
      </c>
    </row>
    <row r="172" spans="1:14">
      <c r="A172" s="225" t="s">
        <v>583</v>
      </c>
      <c r="B172" s="225" t="s">
        <v>584</v>
      </c>
      <c r="C172" s="225">
        <v>100</v>
      </c>
      <c r="D172" s="225" t="s">
        <v>585</v>
      </c>
      <c r="E172" s="225">
        <v>21</v>
      </c>
      <c r="F172" s="225" t="s">
        <v>554</v>
      </c>
      <c r="G172" s="225">
        <v>3</v>
      </c>
      <c r="H172" s="225" t="s">
        <v>383</v>
      </c>
      <c r="I172" s="225" t="s">
        <v>586</v>
      </c>
      <c r="J172" s="228">
        <v>170</v>
      </c>
      <c r="K172" s="226">
        <v>206078</v>
      </c>
      <c r="L172" s="226">
        <v>233499</v>
      </c>
      <c r="M172" s="226">
        <v>258433</v>
      </c>
      <c r="N172" s="227">
        <v>241842.5</v>
      </c>
    </row>
    <row r="173" spans="1:14">
      <c r="A173" s="225" t="s">
        <v>583</v>
      </c>
      <c r="B173" s="225" t="s">
        <v>584</v>
      </c>
      <c r="C173" s="225">
        <v>100</v>
      </c>
      <c r="D173" s="225" t="s">
        <v>585</v>
      </c>
      <c r="E173" s="225">
        <v>21</v>
      </c>
      <c r="F173" s="225" t="s">
        <v>554</v>
      </c>
      <c r="G173" s="225">
        <v>2</v>
      </c>
      <c r="H173" s="225" t="s">
        <v>352</v>
      </c>
      <c r="I173" s="225" t="s">
        <v>586</v>
      </c>
      <c r="J173" s="228">
        <v>149</v>
      </c>
      <c r="K173" s="226">
        <v>216004</v>
      </c>
      <c r="L173" s="226">
        <v>257676</v>
      </c>
      <c r="M173" s="226">
        <v>320378</v>
      </c>
      <c r="N173" s="227">
        <v>280617.40000000002</v>
      </c>
    </row>
    <row r="174" spans="1:14">
      <c r="A174" s="225" t="s">
        <v>583</v>
      </c>
      <c r="B174" s="225" t="s">
        <v>584</v>
      </c>
      <c r="C174" s="225">
        <v>100</v>
      </c>
      <c r="D174" s="225" t="s">
        <v>585</v>
      </c>
      <c r="E174" s="225">
        <v>21</v>
      </c>
      <c r="F174" s="225" t="s">
        <v>554</v>
      </c>
      <c r="G174" s="225">
        <v>6</v>
      </c>
      <c r="H174" s="225" t="s">
        <v>385</v>
      </c>
      <c r="I174" s="225" t="s">
        <v>586</v>
      </c>
      <c r="J174" s="228">
        <v>39</v>
      </c>
      <c r="K174" s="226">
        <v>258673</v>
      </c>
      <c r="L174" s="226">
        <v>300708</v>
      </c>
      <c r="M174" s="226">
        <v>345721</v>
      </c>
      <c r="N174" s="227">
        <v>297035.09999999998</v>
      </c>
    </row>
    <row r="175" spans="1:14">
      <c r="A175" s="225" t="s">
        <v>583</v>
      </c>
      <c r="B175" s="225" t="s">
        <v>584</v>
      </c>
      <c r="C175" s="225">
        <v>100</v>
      </c>
      <c r="D175" s="225" t="s">
        <v>585</v>
      </c>
      <c r="E175" s="225">
        <v>21</v>
      </c>
      <c r="F175" s="225" t="s">
        <v>554</v>
      </c>
      <c r="G175" s="225">
        <v>1</v>
      </c>
      <c r="H175" s="225" t="s">
        <v>384</v>
      </c>
      <c r="I175" s="225" t="s">
        <v>586</v>
      </c>
      <c r="J175" s="228">
        <v>0</v>
      </c>
      <c r="K175" s="228"/>
      <c r="L175" s="228"/>
      <c r="M175" s="228"/>
      <c r="N175" s="228"/>
    </row>
    <row r="176" spans="1:14">
      <c r="A176" s="225" t="s">
        <v>583</v>
      </c>
      <c r="B176" s="225" t="s">
        <v>584</v>
      </c>
      <c r="C176" s="225">
        <v>100</v>
      </c>
      <c r="D176" s="225" t="s">
        <v>585</v>
      </c>
      <c r="E176" s="225">
        <v>24</v>
      </c>
      <c r="F176" s="225" t="s">
        <v>537</v>
      </c>
      <c r="G176" s="225">
        <v>5</v>
      </c>
      <c r="H176" s="225" t="s">
        <v>349</v>
      </c>
      <c r="I176" s="225" t="s">
        <v>586</v>
      </c>
      <c r="J176" s="228">
        <v>83</v>
      </c>
      <c r="K176" s="226">
        <v>200760</v>
      </c>
      <c r="L176" s="226">
        <v>245901</v>
      </c>
      <c r="M176" s="226">
        <v>301987</v>
      </c>
      <c r="N176" s="227">
        <v>245880.3</v>
      </c>
    </row>
    <row r="177" spans="1:14">
      <c r="A177" s="225" t="s">
        <v>583</v>
      </c>
      <c r="B177" s="225" t="s">
        <v>584</v>
      </c>
      <c r="C177" s="225">
        <v>100</v>
      </c>
      <c r="D177" s="225" t="s">
        <v>585</v>
      </c>
      <c r="E177" s="225">
        <v>24</v>
      </c>
      <c r="F177" s="225" t="s">
        <v>537</v>
      </c>
      <c r="G177" s="225">
        <v>4</v>
      </c>
      <c r="H177" s="225" t="s">
        <v>382</v>
      </c>
      <c r="I177" s="225" t="s">
        <v>586</v>
      </c>
      <c r="J177" s="228">
        <v>328</v>
      </c>
      <c r="K177" s="226">
        <v>205417</v>
      </c>
      <c r="L177" s="226">
        <v>260899</v>
      </c>
      <c r="M177" s="226">
        <v>318275</v>
      </c>
      <c r="N177" s="227">
        <v>268907.09999999998</v>
      </c>
    </row>
    <row r="178" spans="1:14">
      <c r="A178" s="225" t="s">
        <v>583</v>
      </c>
      <c r="B178" s="225" t="s">
        <v>584</v>
      </c>
      <c r="C178" s="225">
        <v>100</v>
      </c>
      <c r="D178" s="225" t="s">
        <v>585</v>
      </c>
      <c r="E178" s="225">
        <v>24</v>
      </c>
      <c r="F178" s="225" t="s">
        <v>537</v>
      </c>
      <c r="G178" s="225">
        <v>3</v>
      </c>
      <c r="H178" s="225" t="s">
        <v>383</v>
      </c>
      <c r="I178" s="225" t="s">
        <v>586</v>
      </c>
      <c r="J178" s="228">
        <v>124</v>
      </c>
      <c r="K178" s="226">
        <v>232106</v>
      </c>
      <c r="L178" s="226">
        <v>281824</v>
      </c>
      <c r="M178" s="226">
        <v>362231</v>
      </c>
      <c r="N178" s="227">
        <v>300047.8</v>
      </c>
    </row>
    <row r="179" spans="1:14">
      <c r="A179" s="225" t="s">
        <v>583</v>
      </c>
      <c r="B179" s="225" t="s">
        <v>584</v>
      </c>
      <c r="C179" s="225">
        <v>100</v>
      </c>
      <c r="D179" s="225" t="s">
        <v>585</v>
      </c>
      <c r="E179" s="225">
        <v>24</v>
      </c>
      <c r="F179" s="225" t="s">
        <v>537</v>
      </c>
      <c r="G179" s="225">
        <v>2</v>
      </c>
      <c r="H179" s="225" t="s">
        <v>352</v>
      </c>
      <c r="I179" s="225" t="s">
        <v>586</v>
      </c>
      <c r="J179" s="228">
        <v>122</v>
      </c>
      <c r="K179" s="226">
        <v>245174</v>
      </c>
      <c r="L179" s="226">
        <v>292548</v>
      </c>
      <c r="M179" s="226">
        <v>428545</v>
      </c>
      <c r="N179" s="227">
        <v>345166.6</v>
      </c>
    </row>
    <row r="180" spans="1:14">
      <c r="A180" s="225" t="s">
        <v>583</v>
      </c>
      <c r="B180" s="225" t="s">
        <v>584</v>
      </c>
      <c r="C180" s="225">
        <v>100</v>
      </c>
      <c r="D180" s="225" t="s">
        <v>585</v>
      </c>
      <c r="E180" s="225">
        <v>24</v>
      </c>
      <c r="F180" s="225" t="s">
        <v>537</v>
      </c>
      <c r="G180" s="225">
        <v>6</v>
      </c>
      <c r="H180" s="225" t="s">
        <v>385</v>
      </c>
      <c r="I180" s="225" t="s">
        <v>586</v>
      </c>
      <c r="J180" s="228">
        <v>22</v>
      </c>
      <c r="K180" s="226">
        <v>358111</v>
      </c>
      <c r="L180" s="226">
        <v>396628</v>
      </c>
      <c r="M180" s="226">
        <v>425000</v>
      </c>
      <c r="N180" s="227">
        <v>406420.7</v>
      </c>
    </row>
    <row r="181" spans="1:14">
      <c r="A181" s="225" t="s">
        <v>583</v>
      </c>
      <c r="B181" s="225" t="s">
        <v>584</v>
      </c>
      <c r="C181" s="225">
        <v>100</v>
      </c>
      <c r="D181" s="225" t="s">
        <v>585</v>
      </c>
      <c r="E181" s="225">
        <v>24</v>
      </c>
      <c r="F181" s="225" t="s">
        <v>537</v>
      </c>
      <c r="G181" s="225">
        <v>1</v>
      </c>
      <c r="H181" s="225" t="s">
        <v>384</v>
      </c>
      <c r="I181" s="225" t="s">
        <v>586</v>
      </c>
      <c r="J181" s="228">
        <v>11</v>
      </c>
      <c r="K181" s="226">
        <v>540142</v>
      </c>
      <c r="L181" s="226">
        <v>682731</v>
      </c>
      <c r="M181" s="226">
        <v>813460</v>
      </c>
      <c r="N181" s="227">
        <v>685513.1</v>
      </c>
    </row>
    <row r="182" spans="1:14">
      <c r="A182" s="225" t="s">
        <v>583</v>
      </c>
      <c r="B182" s="225" t="s">
        <v>584</v>
      </c>
      <c r="C182" s="225">
        <v>100</v>
      </c>
      <c r="D182" s="225" t="s">
        <v>585</v>
      </c>
      <c r="E182" s="225">
        <v>-5</v>
      </c>
      <c r="F182" s="225" t="s">
        <v>561</v>
      </c>
      <c r="G182" s="225">
        <v>5</v>
      </c>
      <c r="H182" s="225" t="s">
        <v>349</v>
      </c>
      <c r="I182" s="225" t="s">
        <v>586</v>
      </c>
      <c r="J182" s="228">
        <v>210</v>
      </c>
      <c r="K182" s="226">
        <v>147600</v>
      </c>
      <c r="L182" s="226">
        <v>248284</v>
      </c>
      <c r="M182" s="226">
        <v>318334</v>
      </c>
      <c r="N182" s="227">
        <v>246813.9</v>
      </c>
    </row>
    <row r="183" spans="1:14">
      <c r="A183" s="225" t="s">
        <v>583</v>
      </c>
      <c r="B183" s="225" t="s">
        <v>584</v>
      </c>
      <c r="C183" s="225">
        <v>100</v>
      </c>
      <c r="D183" s="225" t="s">
        <v>585</v>
      </c>
      <c r="E183" s="225">
        <v>-5</v>
      </c>
      <c r="F183" s="225" t="s">
        <v>561</v>
      </c>
      <c r="G183" s="225">
        <v>4</v>
      </c>
      <c r="H183" s="225" t="s">
        <v>382</v>
      </c>
      <c r="I183" s="225" t="s">
        <v>586</v>
      </c>
      <c r="J183" s="226">
        <v>2047</v>
      </c>
      <c r="K183" s="226">
        <v>250000</v>
      </c>
      <c r="L183" s="226">
        <v>300651</v>
      </c>
      <c r="M183" s="226">
        <v>368706</v>
      </c>
      <c r="N183" s="227">
        <v>330614.09999999998</v>
      </c>
    </row>
    <row r="184" spans="1:14">
      <c r="A184" s="225" t="s">
        <v>583</v>
      </c>
      <c r="B184" s="225" t="s">
        <v>584</v>
      </c>
      <c r="C184" s="225">
        <v>100</v>
      </c>
      <c r="D184" s="225" t="s">
        <v>585</v>
      </c>
      <c r="E184" s="225">
        <v>-5</v>
      </c>
      <c r="F184" s="225" t="s">
        <v>561</v>
      </c>
      <c r="G184" s="225">
        <v>3</v>
      </c>
      <c r="H184" s="225" t="s">
        <v>383</v>
      </c>
      <c r="I184" s="225" t="s">
        <v>586</v>
      </c>
      <c r="J184" s="228">
        <v>755</v>
      </c>
      <c r="K184" s="226">
        <v>293200</v>
      </c>
      <c r="L184" s="226">
        <v>355321</v>
      </c>
      <c r="M184" s="226">
        <v>447359</v>
      </c>
      <c r="N184" s="227">
        <v>418119.6</v>
      </c>
    </row>
    <row r="185" spans="1:14">
      <c r="A185" s="225" t="s">
        <v>583</v>
      </c>
      <c r="B185" s="225" t="s">
        <v>584</v>
      </c>
      <c r="C185" s="225">
        <v>100</v>
      </c>
      <c r="D185" s="225" t="s">
        <v>585</v>
      </c>
      <c r="E185" s="225">
        <v>-5</v>
      </c>
      <c r="F185" s="225" t="s">
        <v>561</v>
      </c>
      <c r="G185" s="225">
        <v>2</v>
      </c>
      <c r="H185" s="225" t="s">
        <v>352</v>
      </c>
      <c r="I185" s="225" t="s">
        <v>586</v>
      </c>
      <c r="J185" s="228">
        <v>588</v>
      </c>
      <c r="K185" s="226">
        <v>319201</v>
      </c>
      <c r="L185" s="226">
        <v>393299</v>
      </c>
      <c r="M185" s="226">
        <v>484077</v>
      </c>
      <c r="N185" s="227">
        <v>419437.9</v>
      </c>
    </row>
    <row r="186" spans="1:14">
      <c r="A186" s="225" t="s">
        <v>583</v>
      </c>
      <c r="B186" s="225" t="s">
        <v>584</v>
      </c>
      <c r="C186" s="225">
        <v>100</v>
      </c>
      <c r="D186" s="225" t="s">
        <v>585</v>
      </c>
      <c r="E186" s="225">
        <v>-5</v>
      </c>
      <c r="F186" s="225" t="s">
        <v>561</v>
      </c>
      <c r="G186" s="225">
        <v>6</v>
      </c>
      <c r="H186" s="225" t="s">
        <v>385</v>
      </c>
      <c r="I186" s="225" t="s">
        <v>586</v>
      </c>
      <c r="J186" s="228">
        <v>190</v>
      </c>
      <c r="K186" s="226">
        <v>356000</v>
      </c>
      <c r="L186" s="226">
        <v>423281</v>
      </c>
      <c r="M186" s="226">
        <v>498524</v>
      </c>
      <c r="N186" s="227">
        <v>463998.6</v>
      </c>
    </row>
    <row r="187" spans="1:14">
      <c r="A187" s="225" t="s">
        <v>583</v>
      </c>
      <c r="B187" s="225" t="s">
        <v>584</v>
      </c>
      <c r="C187" s="225">
        <v>100</v>
      </c>
      <c r="D187" s="225" t="s">
        <v>585</v>
      </c>
      <c r="E187" s="225">
        <v>-5</v>
      </c>
      <c r="F187" s="225" t="s">
        <v>561</v>
      </c>
      <c r="G187" s="225">
        <v>1</v>
      </c>
      <c r="H187" s="225" t="s">
        <v>384</v>
      </c>
      <c r="I187" s="225" t="s">
        <v>586</v>
      </c>
      <c r="J187" s="228">
        <v>107</v>
      </c>
      <c r="K187" s="226">
        <v>545000</v>
      </c>
      <c r="L187" s="226">
        <v>634870</v>
      </c>
      <c r="M187" s="226">
        <v>741880</v>
      </c>
      <c r="N187" s="227">
        <v>725907.3</v>
      </c>
    </row>
    <row r="188" spans="1:14">
      <c r="A188" s="225" t="s">
        <v>583</v>
      </c>
      <c r="B188" s="225" t="s">
        <v>584</v>
      </c>
      <c r="C188" s="225">
        <v>100</v>
      </c>
      <c r="D188" s="225" t="s">
        <v>585</v>
      </c>
      <c r="E188" s="225">
        <v>69</v>
      </c>
      <c r="F188" s="225" t="s">
        <v>531</v>
      </c>
      <c r="G188" s="225">
        <v>5</v>
      </c>
      <c r="H188" s="225" t="s">
        <v>349</v>
      </c>
      <c r="I188" s="225" t="s">
        <v>586</v>
      </c>
      <c r="J188" s="228">
        <v>147</v>
      </c>
      <c r="K188" s="226">
        <v>195000</v>
      </c>
      <c r="L188" s="226">
        <v>243000</v>
      </c>
      <c r="M188" s="226">
        <v>300000</v>
      </c>
      <c r="N188" s="227">
        <v>247310.1</v>
      </c>
    </row>
    <row r="189" spans="1:14">
      <c r="A189" s="225" t="s">
        <v>583</v>
      </c>
      <c r="B189" s="225" t="s">
        <v>584</v>
      </c>
      <c r="C189" s="225">
        <v>100</v>
      </c>
      <c r="D189" s="225" t="s">
        <v>585</v>
      </c>
      <c r="E189" s="225">
        <v>69</v>
      </c>
      <c r="F189" s="225" t="s">
        <v>531</v>
      </c>
      <c r="G189" s="225">
        <v>4</v>
      </c>
      <c r="H189" s="225" t="s">
        <v>382</v>
      </c>
      <c r="I189" s="225" t="s">
        <v>586</v>
      </c>
      <c r="J189" s="226">
        <v>1266</v>
      </c>
      <c r="K189" s="226">
        <v>238371</v>
      </c>
      <c r="L189" s="226">
        <v>276469</v>
      </c>
      <c r="M189" s="226">
        <v>339643</v>
      </c>
      <c r="N189" s="227">
        <v>306062.8</v>
      </c>
    </row>
    <row r="190" spans="1:14">
      <c r="A190" s="225" t="s">
        <v>583</v>
      </c>
      <c r="B190" s="225" t="s">
        <v>584</v>
      </c>
      <c r="C190" s="225">
        <v>100</v>
      </c>
      <c r="D190" s="225" t="s">
        <v>585</v>
      </c>
      <c r="E190" s="225">
        <v>69</v>
      </c>
      <c r="F190" s="225" t="s">
        <v>531</v>
      </c>
      <c r="G190" s="225">
        <v>3</v>
      </c>
      <c r="H190" s="225" t="s">
        <v>383</v>
      </c>
      <c r="I190" s="225" t="s">
        <v>586</v>
      </c>
      <c r="J190" s="228">
        <v>363</v>
      </c>
      <c r="K190" s="226">
        <v>270060</v>
      </c>
      <c r="L190" s="226">
        <v>313420</v>
      </c>
      <c r="M190" s="226">
        <v>367717</v>
      </c>
      <c r="N190" s="227">
        <v>337914.6</v>
      </c>
    </row>
    <row r="191" spans="1:14">
      <c r="A191" s="225" t="s">
        <v>583</v>
      </c>
      <c r="B191" s="225" t="s">
        <v>584</v>
      </c>
      <c r="C191" s="225">
        <v>100</v>
      </c>
      <c r="D191" s="225" t="s">
        <v>585</v>
      </c>
      <c r="E191" s="225">
        <v>69</v>
      </c>
      <c r="F191" s="225" t="s">
        <v>531</v>
      </c>
      <c r="G191" s="225">
        <v>2</v>
      </c>
      <c r="H191" s="225" t="s">
        <v>352</v>
      </c>
      <c r="I191" s="225" t="s">
        <v>586</v>
      </c>
      <c r="J191" s="228">
        <v>200</v>
      </c>
      <c r="K191" s="226">
        <v>280820</v>
      </c>
      <c r="L191" s="226">
        <v>337658</v>
      </c>
      <c r="M191" s="226">
        <v>414503</v>
      </c>
      <c r="N191" s="227">
        <v>353137.6</v>
      </c>
    </row>
    <row r="192" spans="1:14">
      <c r="A192" s="225" t="s">
        <v>583</v>
      </c>
      <c r="B192" s="225" t="s">
        <v>584</v>
      </c>
      <c r="C192" s="225">
        <v>100</v>
      </c>
      <c r="D192" s="225" t="s">
        <v>585</v>
      </c>
      <c r="E192" s="225">
        <v>69</v>
      </c>
      <c r="F192" s="225" t="s">
        <v>531</v>
      </c>
      <c r="G192" s="225">
        <v>6</v>
      </c>
      <c r="H192" s="225" t="s">
        <v>385</v>
      </c>
      <c r="I192" s="225" t="s">
        <v>586</v>
      </c>
      <c r="J192" s="228">
        <v>70</v>
      </c>
      <c r="K192" s="226">
        <v>315832</v>
      </c>
      <c r="L192" s="226">
        <v>367895</v>
      </c>
      <c r="M192" s="226">
        <v>434049</v>
      </c>
      <c r="N192" s="227">
        <v>415746.9</v>
      </c>
    </row>
    <row r="193" spans="1:14">
      <c r="A193" s="225" t="s">
        <v>583</v>
      </c>
      <c r="B193" s="225" t="s">
        <v>584</v>
      </c>
      <c r="C193" s="225">
        <v>100</v>
      </c>
      <c r="D193" s="225" t="s">
        <v>585</v>
      </c>
      <c r="E193" s="225">
        <v>69</v>
      </c>
      <c r="F193" s="225" t="s">
        <v>531</v>
      </c>
      <c r="G193" s="225">
        <v>1</v>
      </c>
      <c r="H193" s="225" t="s">
        <v>384</v>
      </c>
      <c r="I193" s="225" t="s">
        <v>586</v>
      </c>
      <c r="J193" s="228">
        <v>47</v>
      </c>
      <c r="K193" s="226">
        <v>530000</v>
      </c>
      <c r="L193" s="226">
        <v>597354</v>
      </c>
      <c r="M193" s="226">
        <v>692413</v>
      </c>
      <c r="N193" s="227">
        <v>634018.19999999995</v>
      </c>
    </row>
    <row r="194" spans="1:14">
      <c r="A194" s="225" t="s">
        <v>583</v>
      </c>
      <c r="B194" s="225" t="s">
        <v>584</v>
      </c>
      <c r="C194" s="225">
        <v>100</v>
      </c>
      <c r="D194" s="225" t="s">
        <v>585</v>
      </c>
      <c r="E194" s="225">
        <v>67</v>
      </c>
      <c r="F194" s="225" t="s">
        <v>532</v>
      </c>
      <c r="G194" s="225">
        <v>5</v>
      </c>
      <c r="H194" s="225" t="s">
        <v>349</v>
      </c>
      <c r="I194" s="225" t="s">
        <v>586</v>
      </c>
      <c r="J194" s="228">
        <v>15</v>
      </c>
      <c r="K194" s="226">
        <v>145000</v>
      </c>
      <c r="L194" s="226">
        <v>299850</v>
      </c>
      <c r="M194" s="226">
        <v>404881</v>
      </c>
      <c r="N194" s="227">
        <v>293928.5</v>
      </c>
    </row>
    <row r="195" spans="1:14">
      <c r="A195" s="225" t="s">
        <v>583</v>
      </c>
      <c r="B195" s="225" t="s">
        <v>584</v>
      </c>
      <c r="C195" s="225">
        <v>100</v>
      </c>
      <c r="D195" s="225" t="s">
        <v>585</v>
      </c>
      <c r="E195" s="225">
        <v>67</v>
      </c>
      <c r="F195" s="225" t="s">
        <v>532</v>
      </c>
      <c r="G195" s="225">
        <v>4</v>
      </c>
      <c r="H195" s="225" t="s">
        <v>382</v>
      </c>
      <c r="I195" s="225" t="s">
        <v>586</v>
      </c>
      <c r="J195" s="228">
        <v>184</v>
      </c>
      <c r="K195" s="226">
        <v>304429</v>
      </c>
      <c r="L195" s="226">
        <v>349500</v>
      </c>
      <c r="M195" s="226">
        <v>420404</v>
      </c>
      <c r="N195" s="227">
        <v>374981.1</v>
      </c>
    </row>
    <row r="196" spans="1:14">
      <c r="A196" s="225" t="s">
        <v>583</v>
      </c>
      <c r="B196" s="225" t="s">
        <v>584</v>
      </c>
      <c r="C196" s="225">
        <v>100</v>
      </c>
      <c r="D196" s="225" t="s">
        <v>585</v>
      </c>
      <c r="E196" s="225">
        <v>67</v>
      </c>
      <c r="F196" s="225" t="s">
        <v>532</v>
      </c>
      <c r="G196" s="225">
        <v>3</v>
      </c>
      <c r="H196" s="225" t="s">
        <v>383</v>
      </c>
      <c r="I196" s="225" t="s">
        <v>586</v>
      </c>
      <c r="J196" s="228">
        <v>103</v>
      </c>
      <c r="K196" s="226">
        <v>356212</v>
      </c>
      <c r="L196" s="226">
        <v>401658</v>
      </c>
      <c r="M196" s="226">
        <v>486571</v>
      </c>
      <c r="N196" s="227">
        <v>448055.4</v>
      </c>
    </row>
    <row r="197" spans="1:14">
      <c r="A197" s="225" t="s">
        <v>583</v>
      </c>
      <c r="B197" s="225" t="s">
        <v>584</v>
      </c>
      <c r="C197" s="225">
        <v>100</v>
      </c>
      <c r="D197" s="225" t="s">
        <v>585</v>
      </c>
      <c r="E197" s="225">
        <v>67</v>
      </c>
      <c r="F197" s="225" t="s">
        <v>532</v>
      </c>
      <c r="G197" s="225">
        <v>2</v>
      </c>
      <c r="H197" s="225" t="s">
        <v>352</v>
      </c>
      <c r="I197" s="225" t="s">
        <v>586</v>
      </c>
      <c r="J197" s="228">
        <v>99</v>
      </c>
      <c r="K197" s="226">
        <v>387487</v>
      </c>
      <c r="L197" s="226">
        <v>462750</v>
      </c>
      <c r="M197" s="226">
        <v>591298</v>
      </c>
      <c r="N197" s="227">
        <v>500873.2</v>
      </c>
    </row>
    <row r="198" spans="1:14">
      <c r="A198" s="225" t="s">
        <v>583</v>
      </c>
      <c r="B198" s="225" t="s">
        <v>584</v>
      </c>
      <c r="C198" s="225">
        <v>100</v>
      </c>
      <c r="D198" s="225" t="s">
        <v>585</v>
      </c>
      <c r="E198" s="225">
        <v>67</v>
      </c>
      <c r="F198" s="225" t="s">
        <v>532</v>
      </c>
      <c r="G198" s="225">
        <v>6</v>
      </c>
      <c r="H198" s="225" t="s">
        <v>385</v>
      </c>
      <c r="I198" s="225" t="s">
        <v>586</v>
      </c>
      <c r="J198" s="228">
        <v>32</v>
      </c>
      <c r="K198" s="226">
        <v>424150</v>
      </c>
      <c r="L198" s="226">
        <v>476120</v>
      </c>
      <c r="M198" s="226">
        <v>595922</v>
      </c>
      <c r="N198" s="227">
        <v>526965.1</v>
      </c>
    </row>
    <row r="199" spans="1:14">
      <c r="A199" s="225" t="s">
        <v>583</v>
      </c>
      <c r="B199" s="225" t="s">
        <v>584</v>
      </c>
      <c r="C199" s="225">
        <v>100</v>
      </c>
      <c r="D199" s="225" t="s">
        <v>585</v>
      </c>
      <c r="E199" s="225">
        <v>67</v>
      </c>
      <c r="F199" s="225" t="s">
        <v>532</v>
      </c>
      <c r="G199" s="225">
        <v>1</v>
      </c>
      <c r="H199" s="225" t="s">
        <v>384</v>
      </c>
      <c r="I199" s="225" t="s">
        <v>586</v>
      </c>
      <c r="J199" s="228">
        <v>13</v>
      </c>
      <c r="K199" s="226">
        <v>614841</v>
      </c>
      <c r="L199" s="226">
        <v>656706</v>
      </c>
      <c r="M199" s="226">
        <v>838865</v>
      </c>
      <c r="N199" s="227">
        <v>717948.2</v>
      </c>
    </row>
    <row r="200" spans="1:14">
      <c r="A200" s="225" t="s">
        <v>583</v>
      </c>
      <c r="B200" s="225" t="s">
        <v>584</v>
      </c>
      <c r="C200" s="225">
        <v>100</v>
      </c>
      <c r="D200" s="225" t="s">
        <v>585</v>
      </c>
      <c r="E200" s="225">
        <v>66</v>
      </c>
      <c r="F200" s="225" t="s">
        <v>533</v>
      </c>
      <c r="G200" s="225">
        <v>5</v>
      </c>
      <c r="H200" s="225" t="s">
        <v>349</v>
      </c>
      <c r="I200" s="225" t="s">
        <v>586</v>
      </c>
      <c r="J200" s="228">
        <v>26</v>
      </c>
      <c r="K200" s="226">
        <v>112500</v>
      </c>
      <c r="L200" s="226">
        <v>306557</v>
      </c>
      <c r="M200" s="226">
        <v>393022</v>
      </c>
      <c r="N200" s="227">
        <v>283062.09999999998</v>
      </c>
    </row>
    <row r="201" spans="1:14">
      <c r="A201" s="225" t="s">
        <v>583</v>
      </c>
      <c r="B201" s="225" t="s">
        <v>584</v>
      </c>
      <c r="C201" s="225">
        <v>100</v>
      </c>
      <c r="D201" s="225" t="s">
        <v>585</v>
      </c>
      <c r="E201" s="225">
        <v>66</v>
      </c>
      <c r="F201" s="225" t="s">
        <v>533</v>
      </c>
      <c r="G201" s="225">
        <v>4</v>
      </c>
      <c r="H201" s="225" t="s">
        <v>382</v>
      </c>
      <c r="I201" s="225" t="s">
        <v>586</v>
      </c>
      <c r="J201" s="228">
        <v>361</v>
      </c>
      <c r="K201" s="226">
        <v>313190</v>
      </c>
      <c r="L201" s="226">
        <v>366005</v>
      </c>
      <c r="M201" s="226">
        <v>426564</v>
      </c>
      <c r="N201" s="227">
        <v>382482.9</v>
      </c>
    </row>
    <row r="202" spans="1:14">
      <c r="A202" s="225" t="s">
        <v>583</v>
      </c>
      <c r="B202" s="225" t="s">
        <v>584</v>
      </c>
      <c r="C202" s="225">
        <v>100</v>
      </c>
      <c r="D202" s="225" t="s">
        <v>585</v>
      </c>
      <c r="E202" s="225">
        <v>66</v>
      </c>
      <c r="F202" s="225" t="s">
        <v>533</v>
      </c>
      <c r="G202" s="225">
        <v>3</v>
      </c>
      <c r="H202" s="225" t="s">
        <v>383</v>
      </c>
      <c r="I202" s="225" t="s">
        <v>586</v>
      </c>
      <c r="J202" s="228">
        <v>157</v>
      </c>
      <c r="K202" s="226">
        <v>374867</v>
      </c>
      <c r="L202" s="226">
        <v>443184</v>
      </c>
      <c r="M202" s="226">
        <v>506335</v>
      </c>
      <c r="N202" s="227">
        <v>455890.4</v>
      </c>
    </row>
    <row r="203" spans="1:14">
      <c r="A203" s="225" t="s">
        <v>583</v>
      </c>
      <c r="B203" s="225" t="s">
        <v>584</v>
      </c>
      <c r="C203" s="225">
        <v>100</v>
      </c>
      <c r="D203" s="225" t="s">
        <v>585</v>
      </c>
      <c r="E203" s="225">
        <v>66</v>
      </c>
      <c r="F203" s="225" t="s">
        <v>533</v>
      </c>
      <c r="G203" s="225">
        <v>2</v>
      </c>
      <c r="H203" s="225" t="s">
        <v>352</v>
      </c>
      <c r="I203" s="225" t="s">
        <v>586</v>
      </c>
      <c r="J203" s="228">
        <v>162</v>
      </c>
      <c r="K203" s="226">
        <v>365229</v>
      </c>
      <c r="L203" s="226">
        <v>454340</v>
      </c>
      <c r="M203" s="226">
        <v>544373</v>
      </c>
      <c r="N203" s="227">
        <v>467794.1</v>
      </c>
    </row>
    <row r="204" spans="1:14">
      <c r="A204" s="225" t="s">
        <v>583</v>
      </c>
      <c r="B204" s="225" t="s">
        <v>584</v>
      </c>
      <c r="C204" s="225">
        <v>100</v>
      </c>
      <c r="D204" s="225" t="s">
        <v>585</v>
      </c>
      <c r="E204" s="225">
        <v>66</v>
      </c>
      <c r="F204" s="225" t="s">
        <v>533</v>
      </c>
      <c r="G204" s="225">
        <v>6</v>
      </c>
      <c r="H204" s="225" t="s">
        <v>385</v>
      </c>
      <c r="I204" s="225" t="s">
        <v>586</v>
      </c>
      <c r="J204" s="228">
        <v>36</v>
      </c>
      <c r="K204" s="226">
        <v>429079</v>
      </c>
      <c r="L204" s="226">
        <v>491026</v>
      </c>
      <c r="M204" s="226">
        <v>570312</v>
      </c>
      <c r="N204" s="227">
        <v>498666.4</v>
      </c>
    </row>
    <row r="205" spans="1:14">
      <c r="A205" s="225" t="s">
        <v>583</v>
      </c>
      <c r="B205" s="225" t="s">
        <v>584</v>
      </c>
      <c r="C205" s="225">
        <v>100</v>
      </c>
      <c r="D205" s="225" t="s">
        <v>585</v>
      </c>
      <c r="E205" s="225">
        <v>66</v>
      </c>
      <c r="F205" s="225" t="s">
        <v>533</v>
      </c>
      <c r="G205" s="225">
        <v>1</v>
      </c>
      <c r="H205" s="225" t="s">
        <v>384</v>
      </c>
      <c r="I205" s="225" t="s">
        <v>586</v>
      </c>
      <c r="J205" s="228">
        <v>24</v>
      </c>
      <c r="K205" s="226">
        <v>594659</v>
      </c>
      <c r="L205" s="226">
        <v>686580</v>
      </c>
      <c r="M205" s="226">
        <v>732852</v>
      </c>
      <c r="N205" s="227">
        <v>688560.9</v>
      </c>
    </row>
    <row r="206" spans="1:14">
      <c r="A206" s="225" t="s">
        <v>583</v>
      </c>
      <c r="B206" s="225" t="s">
        <v>584</v>
      </c>
      <c r="C206" s="225">
        <v>100</v>
      </c>
      <c r="D206" s="225" t="s">
        <v>585</v>
      </c>
      <c r="E206" s="225">
        <v>68</v>
      </c>
      <c r="F206" s="225" t="s">
        <v>79</v>
      </c>
      <c r="G206" s="225">
        <v>5</v>
      </c>
      <c r="H206" s="225" t="s">
        <v>349</v>
      </c>
      <c r="I206" s="225" t="s">
        <v>586</v>
      </c>
      <c r="J206" s="228">
        <v>7</v>
      </c>
      <c r="K206" s="226">
        <v>93585</v>
      </c>
      <c r="L206" s="226">
        <v>282319</v>
      </c>
      <c r="M206" s="226">
        <v>523036</v>
      </c>
      <c r="N206" s="227">
        <v>311052.90000000002</v>
      </c>
    </row>
    <row r="207" spans="1:14">
      <c r="A207" s="225" t="s">
        <v>583</v>
      </c>
      <c r="B207" s="225" t="s">
        <v>584</v>
      </c>
      <c r="C207" s="225">
        <v>100</v>
      </c>
      <c r="D207" s="225" t="s">
        <v>585</v>
      </c>
      <c r="E207" s="225">
        <v>68</v>
      </c>
      <c r="F207" s="225" t="s">
        <v>79</v>
      </c>
      <c r="G207" s="225">
        <v>4</v>
      </c>
      <c r="H207" s="225" t="s">
        <v>382</v>
      </c>
      <c r="I207" s="225" t="s">
        <v>586</v>
      </c>
      <c r="J207" s="228">
        <v>86</v>
      </c>
      <c r="K207" s="226">
        <v>253360</v>
      </c>
      <c r="L207" s="226">
        <v>313283</v>
      </c>
      <c r="M207" s="226">
        <v>399673</v>
      </c>
      <c r="N207" s="227">
        <v>431047</v>
      </c>
    </row>
    <row r="208" spans="1:14">
      <c r="A208" s="225" t="s">
        <v>583</v>
      </c>
      <c r="B208" s="225" t="s">
        <v>584</v>
      </c>
      <c r="C208" s="225">
        <v>100</v>
      </c>
      <c r="D208" s="225" t="s">
        <v>585</v>
      </c>
      <c r="E208" s="225">
        <v>68</v>
      </c>
      <c r="F208" s="225" t="s">
        <v>79</v>
      </c>
      <c r="G208" s="225">
        <v>3</v>
      </c>
      <c r="H208" s="225" t="s">
        <v>383</v>
      </c>
      <c r="I208" s="225" t="s">
        <v>586</v>
      </c>
      <c r="J208" s="228">
        <v>52</v>
      </c>
      <c r="K208" s="226">
        <v>343874</v>
      </c>
      <c r="L208" s="226">
        <v>443222</v>
      </c>
      <c r="M208" s="226">
        <v>843747</v>
      </c>
      <c r="N208" s="227">
        <v>936546.9</v>
      </c>
    </row>
    <row r="209" spans="1:14">
      <c r="A209" s="225" t="s">
        <v>583</v>
      </c>
      <c r="B209" s="225" t="s">
        <v>584</v>
      </c>
      <c r="C209" s="225">
        <v>100</v>
      </c>
      <c r="D209" s="225" t="s">
        <v>585</v>
      </c>
      <c r="E209" s="225">
        <v>68</v>
      </c>
      <c r="F209" s="225" t="s">
        <v>79</v>
      </c>
      <c r="G209" s="225">
        <v>2</v>
      </c>
      <c r="H209" s="225" t="s">
        <v>352</v>
      </c>
      <c r="I209" s="225" t="s">
        <v>586</v>
      </c>
      <c r="J209" s="228">
        <v>61</v>
      </c>
      <c r="K209" s="226">
        <v>318615</v>
      </c>
      <c r="L209" s="226">
        <v>391755</v>
      </c>
      <c r="M209" s="226">
        <v>447465</v>
      </c>
      <c r="N209" s="227">
        <v>448943.1</v>
      </c>
    </row>
    <row r="210" spans="1:14">
      <c r="A210" s="225" t="s">
        <v>583</v>
      </c>
      <c r="B210" s="225" t="s">
        <v>584</v>
      </c>
      <c r="C210" s="225">
        <v>100</v>
      </c>
      <c r="D210" s="225" t="s">
        <v>585</v>
      </c>
      <c r="E210" s="225">
        <v>68</v>
      </c>
      <c r="F210" s="225" t="s">
        <v>79</v>
      </c>
      <c r="G210" s="225">
        <v>6</v>
      </c>
      <c r="H210" s="225" t="s">
        <v>385</v>
      </c>
      <c r="I210" s="225" t="s">
        <v>586</v>
      </c>
      <c r="J210" s="228">
        <v>20</v>
      </c>
      <c r="K210" s="226">
        <v>354263</v>
      </c>
      <c r="L210" s="226">
        <v>413080</v>
      </c>
      <c r="M210" s="226">
        <v>534345</v>
      </c>
      <c r="N210" s="227">
        <v>507021.7</v>
      </c>
    </row>
    <row r="211" spans="1:14">
      <c r="A211" s="225" t="s">
        <v>583</v>
      </c>
      <c r="B211" s="225" t="s">
        <v>584</v>
      </c>
      <c r="C211" s="225">
        <v>100</v>
      </c>
      <c r="D211" s="225" t="s">
        <v>585</v>
      </c>
      <c r="E211" s="225">
        <v>68</v>
      </c>
      <c r="F211" s="225" t="s">
        <v>79</v>
      </c>
      <c r="G211" s="225">
        <v>1</v>
      </c>
      <c r="H211" s="225" t="s">
        <v>384</v>
      </c>
      <c r="I211" s="225" t="s">
        <v>586</v>
      </c>
      <c r="J211" s="228">
        <v>15</v>
      </c>
      <c r="K211" s="226">
        <v>520833</v>
      </c>
      <c r="L211" s="226">
        <v>612258</v>
      </c>
      <c r="M211" s="226">
        <v>743871</v>
      </c>
      <c r="N211" s="227">
        <v>1127355.6000000001</v>
      </c>
    </row>
    <row r="212" spans="1:14">
      <c r="A212" s="225" t="s">
        <v>583</v>
      </c>
      <c r="B212" s="225" t="s">
        <v>584</v>
      </c>
      <c r="C212" s="225">
        <v>100</v>
      </c>
      <c r="D212" s="225" t="s">
        <v>585</v>
      </c>
      <c r="E212" s="225">
        <v>70</v>
      </c>
      <c r="F212" s="225" t="s">
        <v>534</v>
      </c>
      <c r="G212" s="225">
        <v>5</v>
      </c>
      <c r="H212" s="225" t="s">
        <v>349</v>
      </c>
      <c r="I212" s="225" t="s">
        <v>586</v>
      </c>
      <c r="J212" s="228">
        <v>15</v>
      </c>
      <c r="K212" s="226">
        <v>68045</v>
      </c>
      <c r="L212" s="226">
        <v>68413</v>
      </c>
      <c r="M212" s="226">
        <v>82851</v>
      </c>
      <c r="N212" s="227">
        <v>102027.3</v>
      </c>
    </row>
    <row r="213" spans="1:14">
      <c r="A213" s="225" t="s">
        <v>583</v>
      </c>
      <c r="B213" s="225" t="s">
        <v>584</v>
      </c>
      <c r="C213" s="225">
        <v>100</v>
      </c>
      <c r="D213" s="225" t="s">
        <v>585</v>
      </c>
      <c r="E213" s="225">
        <v>70</v>
      </c>
      <c r="F213" s="225" t="s">
        <v>534</v>
      </c>
      <c r="G213" s="225">
        <v>4</v>
      </c>
      <c r="H213" s="225" t="s">
        <v>382</v>
      </c>
      <c r="I213" s="225" t="s">
        <v>586</v>
      </c>
      <c r="J213" s="228">
        <v>150</v>
      </c>
      <c r="K213" s="226">
        <v>244000</v>
      </c>
      <c r="L213" s="226">
        <v>278934</v>
      </c>
      <c r="M213" s="226">
        <v>328500</v>
      </c>
      <c r="N213" s="227">
        <v>300991</v>
      </c>
    </row>
    <row r="214" spans="1:14">
      <c r="A214" s="225" t="s">
        <v>583</v>
      </c>
      <c r="B214" s="225" t="s">
        <v>584</v>
      </c>
      <c r="C214" s="225">
        <v>100</v>
      </c>
      <c r="D214" s="225" t="s">
        <v>585</v>
      </c>
      <c r="E214" s="225">
        <v>70</v>
      </c>
      <c r="F214" s="225" t="s">
        <v>534</v>
      </c>
      <c r="G214" s="225">
        <v>3</v>
      </c>
      <c r="H214" s="225" t="s">
        <v>383</v>
      </c>
      <c r="I214" s="225" t="s">
        <v>586</v>
      </c>
      <c r="J214" s="228">
        <v>80</v>
      </c>
      <c r="K214" s="226">
        <v>258063</v>
      </c>
      <c r="L214" s="226">
        <v>320165</v>
      </c>
      <c r="M214" s="226">
        <v>381856</v>
      </c>
      <c r="N214" s="227">
        <v>332404.90000000002</v>
      </c>
    </row>
    <row r="215" spans="1:14">
      <c r="A215" s="225" t="s">
        <v>583</v>
      </c>
      <c r="B215" s="225" t="s">
        <v>584</v>
      </c>
      <c r="C215" s="225">
        <v>100</v>
      </c>
      <c r="D215" s="225" t="s">
        <v>585</v>
      </c>
      <c r="E215" s="225">
        <v>70</v>
      </c>
      <c r="F215" s="225" t="s">
        <v>534</v>
      </c>
      <c r="G215" s="225">
        <v>2</v>
      </c>
      <c r="H215" s="225" t="s">
        <v>352</v>
      </c>
      <c r="I215" s="225" t="s">
        <v>586</v>
      </c>
      <c r="J215" s="228">
        <v>66</v>
      </c>
      <c r="K215" s="226">
        <v>299963</v>
      </c>
      <c r="L215" s="226">
        <v>352446</v>
      </c>
      <c r="M215" s="226">
        <v>400000</v>
      </c>
      <c r="N215" s="227">
        <v>352233</v>
      </c>
    </row>
    <row r="216" spans="1:14">
      <c r="A216" s="225" t="s">
        <v>583</v>
      </c>
      <c r="B216" s="225" t="s">
        <v>584</v>
      </c>
      <c r="C216" s="225">
        <v>100</v>
      </c>
      <c r="D216" s="225" t="s">
        <v>585</v>
      </c>
      <c r="E216" s="225">
        <v>70</v>
      </c>
      <c r="F216" s="225" t="s">
        <v>534</v>
      </c>
      <c r="G216" s="225">
        <v>6</v>
      </c>
      <c r="H216" s="225" t="s">
        <v>385</v>
      </c>
      <c r="I216" s="225" t="s">
        <v>586</v>
      </c>
      <c r="J216" s="228">
        <v>32</v>
      </c>
      <c r="K216" s="226">
        <v>326620</v>
      </c>
      <c r="L216" s="226">
        <v>393098</v>
      </c>
      <c r="M216" s="226">
        <v>471354</v>
      </c>
      <c r="N216" s="227">
        <v>440692</v>
      </c>
    </row>
    <row r="217" spans="1:14">
      <c r="A217" s="225" t="s">
        <v>583</v>
      </c>
      <c r="B217" s="225" t="s">
        <v>584</v>
      </c>
      <c r="C217" s="225">
        <v>100</v>
      </c>
      <c r="D217" s="225" t="s">
        <v>585</v>
      </c>
      <c r="E217" s="225">
        <v>70</v>
      </c>
      <c r="F217" s="225" t="s">
        <v>534</v>
      </c>
      <c r="G217" s="225">
        <v>1</v>
      </c>
      <c r="H217" s="225" t="s">
        <v>384</v>
      </c>
      <c r="I217" s="225" t="s">
        <v>586</v>
      </c>
      <c r="J217" s="228">
        <v>8</v>
      </c>
      <c r="K217" s="226">
        <v>510000</v>
      </c>
      <c r="L217" s="226">
        <v>599842</v>
      </c>
      <c r="M217" s="226">
        <v>830474</v>
      </c>
      <c r="N217" s="227">
        <v>638012.4</v>
      </c>
    </row>
    <row r="218" spans="1:14">
      <c r="A218" s="225" t="s">
        <v>583</v>
      </c>
      <c r="B218" s="225" t="s">
        <v>584</v>
      </c>
      <c r="C218" s="225">
        <v>100</v>
      </c>
      <c r="D218" s="225" t="s">
        <v>585</v>
      </c>
      <c r="E218" s="225">
        <v>-6</v>
      </c>
      <c r="F218" s="225" t="s">
        <v>562</v>
      </c>
      <c r="G218" s="225">
        <v>5</v>
      </c>
      <c r="H218" s="225" t="s">
        <v>349</v>
      </c>
      <c r="I218" s="225" t="s">
        <v>586</v>
      </c>
      <c r="J218" s="228">
        <v>94</v>
      </c>
      <c r="K218" s="226">
        <v>87569</v>
      </c>
      <c r="L218" s="226">
        <v>201374</v>
      </c>
      <c r="M218" s="226">
        <v>259646</v>
      </c>
      <c r="N218" s="227">
        <v>198718.2</v>
      </c>
    </row>
    <row r="219" spans="1:14">
      <c r="A219" s="225" t="s">
        <v>583</v>
      </c>
      <c r="B219" s="225" t="s">
        <v>584</v>
      </c>
      <c r="C219" s="225">
        <v>100</v>
      </c>
      <c r="D219" s="225" t="s">
        <v>585</v>
      </c>
      <c r="E219" s="225">
        <v>-6</v>
      </c>
      <c r="F219" s="225" t="s">
        <v>562</v>
      </c>
      <c r="G219" s="225">
        <v>4</v>
      </c>
      <c r="H219" s="225" t="s">
        <v>382</v>
      </c>
      <c r="I219" s="225" t="s">
        <v>586</v>
      </c>
      <c r="J219" s="226">
        <v>1331</v>
      </c>
      <c r="K219" s="226">
        <v>209487</v>
      </c>
      <c r="L219" s="226">
        <v>230000</v>
      </c>
      <c r="M219" s="226">
        <v>262437</v>
      </c>
      <c r="N219" s="227">
        <v>239664.7</v>
      </c>
    </row>
    <row r="220" spans="1:14">
      <c r="A220" s="225" t="s">
        <v>583</v>
      </c>
      <c r="B220" s="225" t="s">
        <v>584</v>
      </c>
      <c r="C220" s="225">
        <v>100</v>
      </c>
      <c r="D220" s="225" t="s">
        <v>585</v>
      </c>
      <c r="E220" s="225">
        <v>-6</v>
      </c>
      <c r="F220" s="225" t="s">
        <v>562</v>
      </c>
      <c r="G220" s="225">
        <v>3</v>
      </c>
      <c r="H220" s="225" t="s">
        <v>383</v>
      </c>
      <c r="I220" s="225" t="s">
        <v>586</v>
      </c>
      <c r="J220" s="228">
        <v>928</v>
      </c>
      <c r="K220" s="226">
        <v>247157</v>
      </c>
      <c r="L220" s="226">
        <v>277050</v>
      </c>
      <c r="M220" s="226">
        <v>311616</v>
      </c>
      <c r="N220" s="227">
        <v>283726.8</v>
      </c>
    </row>
    <row r="221" spans="1:14">
      <c r="A221" s="225" t="s">
        <v>583</v>
      </c>
      <c r="B221" s="225" t="s">
        <v>584</v>
      </c>
      <c r="C221" s="225">
        <v>100</v>
      </c>
      <c r="D221" s="225" t="s">
        <v>585</v>
      </c>
      <c r="E221" s="225">
        <v>-6</v>
      </c>
      <c r="F221" s="225" t="s">
        <v>562</v>
      </c>
      <c r="G221" s="225">
        <v>2</v>
      </c>
      <c r="H221" s="225" t="s">
        <v>352</v>
      </c>
      <c r="I221" s="225" t="s">
        <v>586</v>
      </c>
      <c r="J221" s="228">
        <v>975</v>
      </c>
      <c r="K221" s="226">
        <v>285300</v>
      </c>
      <c r="L221" s="226">
        <v>330309</v>
      </c>
      <c r="M221" s="226">
        <v>381751</v>
      </c>
      <c r="N221" s="227">
        <v>342412.2</v>
      </c>
    </row>
    <row r="222" spans="1:14">
      <c r="A222" s="225" t="s">
        <v>583</v>
      </c>
      <c r="B222" s="225" t="s">
        <v>584</v>
      </c>
      <c r="C222" s="225">
        <v>100</v>
      </c>
      <c r="D222" s="225" t="s">
        <v>585</v>
      </c>
      <c r="E222" s="225">
        <v>-6</v>
      </c>
      <c r="F222" s="225" t="s">
        <v>562</v>
      </c>
      <c r="G222" s="225">
        <v>6</v>
      </c>
      <c r="H222" s="225" t="s">
        <v>385</v>
      </c>
      <c r="I222" s="225" t="s">
        <v>586</v>
      </c>
      <c r="J222" s="228">
        <v>109</v>
      </c>
      <c r="K222" s="226">
        <v>316596</v>
      </c>
      <c r="L222" s="226">
        <v>370440</v>
      </c>
      <c r="M222" s="226">
        <v>425139</v>
      </c>
      <c r="N222" s="227">
        <v>382526.7</v>
      </c>
    </row>
    <row r="223" spans="1:14">
      <c r="A223" s="225" t="s">
        <v>583</v>
      </c>
      <c r="B223" s="225" t="s">
        <v>584</v>
      </c>
      <c r="C223" s="225">
        <v>100</v>
      </c>
      <c r="D223" s="225" t="s">
        <v>585</v>
      </c>
      <c r="E223" s="225">
        <v>-6</v>
      </c>
      <c r="F223" s="225" t="s">
        <v>562</v>
      </c>
      <c r="G223" s="225">
        <v>1</v>
      </c>
      <c r="H223" s="225" t="s">
        <v>384</v>
      </c>
      <c r="I223" s="225" t="s">
        <v>586</v>
      </c>
      <c r="J223" s="228">
        <v>97</v>
      </c>
      <c r="K223" s="226">
        <v>479578</v>
      </c>
      <c r="L223" s="226">
        <v>576799</v>
      </c>
      <c r="M223" s="226">
        <v>674437</v>
      </c>
      <c r="N223" s="227">
        <v>586403.19999999995</v>
      </c>
    </row>
    <row r="224" spans="1:14">
      <c r="A224" s="225" t="s">
        <v>583</v>
      </c>
      <c r="B224" s="225" t="s">
        <v>584</v>
      </c>
      <c r="C224" s="225">
        <v>100</v>
      </c>
      <c r="D224" s="225" t="s">
        <v>585</v>
      </c>
      <c r="E224" s="225">
        <v>71</v>
      </c>
      <c r="F224" s="225" t="s">
        <v>99</v>
      </c>
      <c r="G224" s="225">
        <v>5</v>
      </c>
      <c r="H224" s="225" t="s">
        <v>349</v>
      </c>
      <c r="I224" s="225" t="s">
        <v>586</v>
      </c>
      <c r="J224" s="228">
        <v>59</v>
      </c>
      <c r="K224" s="226">
        <v>92700</v>
      </c>
      <c r="L224" s="226">
        <v>213000</v>
      </c>
      <c r="M224" s="226">
        <v>272660</v>
      </c>
      <c r="N224" s="227">
        <v>217544.9</v>
      </c>
    </row>
    <row r="225" spans="1:14">
      <c r="A225" s="225" t="s">
        <v>583</v>
      </c>
      <c r="B225" s="225" t="s">
        <v>584</v>
      </c>
      <c r="C225" s="225">
        <v>100</v>
      </c>
      <c r="D225" s="225" t="s">
        <v>585</v>
      </c>
      <c r="E225" s="225">
        <v>71</v>
      </c>
      <c r="F225" s="225" t="s">
        <v>99</v>
      </c>
      <c r="G225" s="225">
        <v>4</v>
      </c>
      <c r="H225" s="225" t="s">
        <v>382</v>
      </c>
      <c r="I225" s="225" t="s">
        <v>586</v>
      </c>
      <c r="J225" s="228">
        <v>742</v>
      </c>
      <c r="K225" s="226">
        <v>213958</v>
      </c>
      <c r="L225" s="226">
        <v>235825</v>
      </c>
      <c r="M225" s="226">
        <v>270329</v>
      </c>
      <c r="N225" s="227">
        <v>248131</v>
      </c>
    </row>
    <row r="226" spans="1:14">
      <c r="A226" s="225" t="s">
        <v>583</v>
      </c>
      <c r="B226" s="225" t="s">
        <v>584</v>
      </c>
      <c r="C226" s="225">
        <v>100</v>
      </c>
      <c r="D226" s="225" t="s">
        <v>585</v>
      </c>
      <c r="E226" s="225">
        <v>71</v>
      </c>
      <c r="F226" s="225" t="s">
        <v>99</v>
      </c>
      <c r="G226" s="225">
        <v>3</v>
      </c>
      <c r="H226" s="225" t="s">
        <v>383</v>
      </c>
      <c r="I226" s="225" t="s">
        <v>586</v>
      </c>
      <c r="J226" s="228">
        <v>487</v>
      </c>
      <c r="K226" s="226">
        <v>257077</v>
      </c>
      <c r="L226" s="226">
        <v>281615</v>
      </c>
      <c r="M226" s="226">
        <v>322350</v>
      </c>
      <c r="N226" s="227">
        <v>292586.40000000002</v>
      </c>
    </row>
    <row r="227" spans="1:14">
      <c r="A227" s="225" t="s">
        <v>583</v>
      </c>
      <c r="B227" s="225" t="s">
        <v>584</v>
      </c>
      <c r="C227" s="225">
        <v>100</v>
      </c>
      <c r="D227" s="225" t="s">
        <v>585</v>
      </c>
      <c r="E227" s="225">
        <v>71</v>
      </c>
      <c r="F227" s="225" t="s">
        <v>99</v>
      </c>
      <c r="G227" s="225">
        <v>2</v>
      </c>
      <c r="H227" s="225" t="s">
        <v>352</v>
      </c>
      <c r="I227" s="225" t="s">
        <v>586</v>
      </c>
      <c r="J227" s="228">
        <v>536</v>
      </c>
      <c r="K227" s="226">
        <v>305213</v>
      </c>
      <c r="L227" s="226">
        <v>344244</v>
      </c>
      <c r="M227" s="226">
        <v>394594</v>
      </c>
      <c r="N227" s="227">
        <v>362899.4</v>
      </c>
    </row>
    <row r="228" spans="1:14">
      <c r="A228" s="225" t="s">
        <v>583</v>
      </c>
      <c r="B228" s="225" t="s">
        <v>584</v>
      </c>
      <c r="C228" s="225">
        <v>100</v>
      </c>
      <c r="D228" s="225" t="s">
        <v>585</v>
      </c>
      <c r="E228" s="225">
        <v>71</v>
      </c>
      <c r="F228" s="225" t="s">
        <v>99</v>
      </c>
      <c r="G228" s="225">
        <v>6</v>
      </c>
      <c r="H228" s="225" t="s">
        <v>385</v>
      </c>
      <c r="I228" s="225" t="s">
        <v>586</v>
      </c>
      <c r="J228" s="228">
        <v>52</v>
      </c>
      <c r="K228" s="226">
        <v>322681</v>
      </c>
      <c r="L228" s="226">
        <v>395292</v>
      </c>
      <c r="M228" s="226">
        <v>439822</v>
      </c>
      <c r="N228" s="227">
        <v>400820.1</v>
      </c>
    </row>
    <row r="229" spans="1:14">
      <c r="A229" s="225" t="s">
        <v>583</v>
      </c>
      <c r="B229" s="225" t="s">
        <v>584</v>
      </c>
      <c r="C229" s="225">
        <v>100</v>
      </c>
      <c r="D229" s="225" t="s">
        <v>585</v>
      </c>
      <c r="E229" s="225">
        <v>71</v>
      </c>
      <c r="F229" s="225" t="s">
        <v>99</v>
      </c>
      <c r="G229" s="225">
        <v>1</v>
      </c>
      <c r="H229" s="225" t="s">
        <v>384</v>
      </c>
      <c r="I229" s="225" t="s">
        <v>586</v>
      </c>
      <c r="J229" s="228">
        <v>43</v>
      </c>
      <c r="K229" s="226">
        <v>483001</v>
      </c>
      <c r="L229" s="226">
        <v>579067</v>
      </c>
      <c r="M229" s="226">
        <v>673291</v>
      </c>
      <c r="N229" s="227">
        <v>594026.30000000005</v>
      </c>
    </row>
    <row r="230" spans="1:14">
      <c r="A230" s="225" t="s">
        <v>583</v>
      </c>
      <c r="B230" s="225" t="s">
        <v>584</v>
      </c>
      <c r="C230" s="225">
        <v>100</v>
      </c>
      <c r="D230" s="225" t="s">
        <v>585</v>
      </c>
      <c r="E230" s="225">
        <v>72</v>
      </c>
      <c r="F230" s="225" t="s">
        <v>105</v>
      </c>
      <c r="G230" s="225">
        <v>5</v>
      </c>
      <c r="H230" s="225" t="s">
        <v>349</v>
      </c>
      <c r="I230" s="225" t="s">
        <v>586</v>
      </c>
      <c r="J230" s="228">
        <v>27</v>
      </c>
      <c r="K230" s="226">
        <v>91218</v>
      </c>
      <c r="L230" s="226">
        <v>192000</v>
      </c>
      <c r="M230" s="226">
        <v>215000</v>
      </c>
      <c r="N230" s="227">
        <v>180465.4</v>
      </c>
    </row>
    <row r="231" spans="1:14">
      <c r="A231" s="225" t="s">
        <v>583</v>
      </c>
      <c r="B231" s="225" t="s">
        <v>584</v>
      </c>
      <c r="C231" s="225">
        <v>100</v>
      </c>
      <c r="D231" s="225" t="s">
        <v>585</v>
      </c>
      <c r="E231" s="225">
        <v>72</v>
      </c>
      <c r="F231" s="225" t="s">
        <v>105</v>
      </c>
      <c r="G231" s="225">
        <v>4</v>
      </c>
      <c r="H231" s="225" t="s">
        <v>382</v>
      </c>
      <c r="I231" s="225" t="s">
        <v>586</v>
      </c>
      <c r="J231" s="228">
        <v>423</v>
      </c>
      <c r="K231" s="226">
        <v>205000</v>
      </c>
      <c r="L231" s="226">
        <v>225016</v>
      </c>
      <c r="M231" s="226">
        <v>247043</v>
      </c>
      <c r="N231" s="227">
        <v>232659.7</v>
      </c>
    </row>
    <row r="232" spans="1:14">
      <c r="A232" s="225" t="s">
        <v>583</v>
      </c>
      <c r="B232" s="225" t="s">
        <v>584</v>
      </c>
      <c r="C232" s="225">
        <v>100</v>
      </c>
      <c r="D232" s="225" t="s">
        <v>585</v>
      </c>
      <c r="E232" s="225">
        <v>72</v>
      </c>
      <c r="F232" s="225" t="s">
        <v>105</v>
      </c>
      <c r="G232" s="225">
        <v>3</v>
      </c>
      <c r="H232" s="225" t="s">
        <v>383</v>
      </c>
      <c r="I232" s="225" t="s">
        <v>586</v>
      </c>
      <c r="J232" s="228">
        <v>309</v>
      </c>
      <c r="K232" s="226">
        <v>247388</v>
      </c>
      <c r="L232" s="226">
        <v>272356</v>
      </c>
      <c r="M232" s="226">
        <v>309027</v>
      </c>
      <c r="N232" s="227">
        <v>284169.3</v>
      </c>
    </row>
    <row r="233" spans="1:14">
      <c r="A233" s="225" t="s">
        <v>583</v>
      </c>
      <c r="B233" s="225" t="s">
        <v>584</v>
      </c>
      <c r="C233" s="225">
        <v>100</v>
      </c>
      <c r="D233" s="225" t="s">
        <v>585</v>
      </c>
      <c r="E233" s="225">
        <v>72</v>
      </c>
      <c r="F233" s="225" t="s">
        <v>105</v>
      </c>
      <c r="G233" s="225">
        <v>2</v>
      </c>
      <c r="H233" s="225" t="s">
        <v>352</v>
      </c>
      <c r="I233" s="225" t="s">
        <v>586</v>
      </c>
      <c r="J233" s="228">
        <v>248</v>
      </c>
      <c r="K233" s="226">
        <v>274454</v>
      </c>
      <c r="L233" s="226">
        <v>320223</v>
      </c>
      <c r="M233" s="226">
        <v>363674</v>
      </c>
      <c r="N233" s="227">
        <v>323027.7</v>
      </c>
    </row>
    <row r="234" spans="1:14">
      <c r="A234" s="225" t="s">
        <v>583</v>
      </c>
      <c r="B234" s="225" t="s">
        <v>584</v>
      </c>
      <c r="C234" s="225">
        <v>100</v>
      </c>
      <c r="D234" s="225" t="s">
        <v>585</v>
      </c>
      <c r="E234" s="225">
        <v>72</v>
      </c>
      <c r="F234" s="225" t="s">
        <v>105</v>
      </c>
      <c r="G234" s="225">
        <v>6</v>
      </c>
      <c r="H234" s="225" t="s">
        <v>385</v>
      </c>
      <c r="I234" s="225" t="s">
        <v>586</v>
      </c>
      <c r="J234" s="228">
        <v>50</v>
      </c>
      <c r="K234" s="226">
        <v>304101</v>
      </c>
      <c r="L234" s="226">
        <v>350507</v>
      </c>
      <c r="M234" s="226">
        <v>401701</v>
      </c>
      <c r="N234" s="227">
        <v>366400.2</v>
      </c>
    </row>
    <row r="235" spans="1:14">
      <c r="A235" s="225" t="s">
        <v>583</v>
      </c>
      <c r="B235" s="225" t="s">
        <v>584</v>
      </c>
      <c r="C235" s="225">
        <v>100</v>
      </c>
      <c r="D235" s="225" t="s">
        <v>585</v>
      </c>
      <c r="E235" s="225">
        <v>72</v>
      </c>
      <c r="F235" s="225" t="s">
        <v>105</v>
      </c>
      <c r="G235" s="225">
        <v>1</v>
      </c>
      <c r="H235" s="225" t="s">
        <v>384</v>
      </c>
      <c r="I235" s="225" t="s">
        <v>586</v>
      </c>
      <c r="J235" s="228">
        <v>32</v>
      </c>
      <c r="K235" s="226">
        <v>470417</v>
      </c>
      <c r="L235" s="226">
        <v>580044</v>
      </c>
      <c r="M235" s="226">
        <v>645268</v>
      </c>
      <c r="N235" s="227">
        <v>561654.5</v>
      </c>
    </row>
    <row r="236" spans="1:14">
      <c r="A236" s="225" t="s">
        <v>583</v>
      </c>
      <c r="B236" s="225" t="s">
        <v>584</v>
      </c>
      <c r="C236" s="225">
        <v>100</v>
      </c>
      <c r="D236" s="225" t="s">
        <v>585</v>
      </c>
      <c r="E236" s="225">
        <v>73</v>
      </c>
      <c r="F236" s="225" t="s">
        <v>542</v>
      </c>
      <c r="G236" s="225">
        <v>5</v>
      </c>
      <c r="H236" s="225" t="s">
        <v>349</v>
      </c>
      <c r="I236" s="225" t="s">
        <v>586</v>
      </c>
      <c r="J236" s="228">
        <v>8</v>
      </c>
      <c r="K236" s="226">
        <v>57250</v>
      </c>
      <c r="L236" s="226">
        <v>70712</v>
      </c>
      <c r="M236" s="226">
        <v>95000</v>
      </c>
      <c r="N236" s="227">
        <v>121475</v>
      </c>
    </row>
    <row r="237" spans="1:14">
      <c r="A237" s="225" t="s">
        <v>583</v>
      </c>
      <c r="B237" s="225" t="s">
        <v>584</v>
      </c>
      <c r="C237" s="225">
        <v>100</v>
      </c>
      <c r="D237" s="225" t="s">
        <v>585</v>
      </c>
      <c r="E237" s="225">
        <v>73</v>
      </c>
      <c r="F237" s="225" t="s">
        <v>542</v>
      </c>
      <c r="G237" s="225">
        <v>4</v>
      </c>
      <c r="H237" s="225" t="s">
        <v>382</v>
      </c>
      <c r="I237" s="225" t="s">
        <v>586</v>
      </c>
      <c r="J237" s="228">
        <v>166</v>
      </c>
      <c r="K237" s="226">
        <v>192716</v>
      </c>
      <c r="L237" s="226">
        <v>220836</v>
      </c>
      <c r="M237" s="226">
        <v>261323</v>
      </c>
      <c r="N237" s="227">
        <v>219671.1</v>
      </c>
    </row>
    <row r="238" spans="1:14">
      <c r="A238" s="225" t="s">
        <v>583</v>
      </c>
      <c r="B238" s="225" t="s">
        <v>584</v>
      </c>
      <c r="C238" s="225">
        <v>100</v>
      </c>
      <c r="D238" s="225" t="s">
        <v>585</v>
      </c>
      <c r="E238" s="225">
        <v>73</v>
      </c>
      <c r="F238" s="225" t="s">
        <v>542</v>
      </c>
      <c r="G238" s="225">
        <v>3</v>
      </c>
      <c r="H238" s="225" t="s">
        <v>383</v>
      </c>
      <c r="I238" s="225" t="s">
        <v>586</v>
      </c>
      <c r="J238" s="228">
        <v>132</v>
      </c>
      <c r="K238" s="226">
        <v>180100</v>
      </c>
      <c r="L238" s="226">
        <v>250124</v>
      </c>
      <c r="M238" s="226">
        <v>289049</v>
      </c>
      <c r="N238" s="227">
        <v>250004.5</v>
      </c>
    </row>
    <row r="239" spans="1:14">
      <c r="A239" s="225" t="s">
        <v>583</v>
      </c>
      <c r="B239" s="225" t="s">
        <v>584</v>
      </c>
      <c r="C239" s="225">
        <v>100</v>
      </c>
      <c r="D239" s="225" t="s">
        <v>585</v>
      </c>
      <c r="E239" s="225">
        <v>73</v>
      </c>
      <c r="F239" s="225" t="s">
        <v>542</v>
      </c>
      <c r="G239" s="225">
        <v>2</v>
      </c>
      <c r="H239" s="225" t="s">
        <v>352</v>
      </c>
      <c r="I239" s="225" t="s">
        <v>586</v>
      </c>
      <c r="J239" s="228">
        <v>191</v>
      </c>
      <c r="K239" s="226">
        <v>230389</v>
      </c>
      <c r="L239" s="226">
        <v>296579</v>
      </c>
      <c r="M239" s="226">
        <v>358925</v>
      </c>
      <c r="N239" s="227">
        <v>310088.7</v>
      </c>
    </row>
    <row r="240" spans="1:14">
      <c r="A240" s="225" t="s">
        <v>583</v>
      </c>
      <c r="B240" s="225" t="s">
        <v>584</v>
      </c>
      <c r="C240" s="225">
        <v>100</v>
      </c>
      <c r="D240" s="225" t="s">
        <v>585</v>
      </c>
      <c r="E240" s="225">
        <v>73</v>
      </c>
      <c r="F240" s="225" t="s">
        <v>542</v>
      </c>
      <c r="G240" s="225">
        <v>6</v>
      </c>
      <c r="H240" s="225" t="s">
        <v>385</v>
      </c>
      <c r="I240" s="225" t="s">
        <v>586</v>
      </c>
      <c r="J240" s="228">
        <v>7</v>
      </c>
      <c r="K240" s="226">
        <v>326299</v>
      </c>
      <c r="L240" s="226">
        <v>362665</v>
      </c>
      <c r="M240" s="226">
        <v>420014</v>
      </c>
      <c r="N240" s="227">
        <v>361822.4</v>
      </c>
    </row>
    <row r="241" spans="1:14">
      <c r="A241" s="225" t="s">
        <v>583</v>
      </c>
      <c r="B241" s="225" t="s">
        <v>584</v>
      </c>
      <c r="C241" s="225">
        <v>100</v>
      </c>
      <c r="D241" s="225" t="s">
        <v>585</v>
      </c>
      <c r="E241" s="225">
        <v>73</v>
      </c>
      <c r="F241" s="225" t="s">
        <v>542</v>
      </c>
      <c r="G241" s="225">
        <v>1</v>
      </c>
      <c r="H241" s="225" t="s">
        <v>384</v>
      </c>
      <c r="I241" s="225" t="s">
        <v>586</v>
      </c>
      <c r="J241" s="228">
        <v>22</v>
      </c>
      <c r="K241" s="226">
        <v>514925</v>
      </c>
      <c r="L241" s="226">
        <v>564665</v>
      </c>
      <c r="M241" s="226">
        <v>733372</v>
      </c>
      <c r="N241" s="227">
        <v>607501.5</v>
      </c>
    </row>
    <row r="242" spans="1:14">
      <c r="A242" s="225" t="s">
        <v>583</v>
      </c>
      <c r="B242" s="225" t="s">
        <v>584</v>
      </c>
      <c r="C242" s="225">
        <v>100</v>
      </c>
      <c r="D242" s="225" t="s">
        <v>585</v>
      </c>
      <c r="E242" s="225">
        <v>-7</v>
      </c>
      <c r="F242" s="225" t="s">
        <v>563</v>
      </c>
      <c r="G242" s="225">
        <v>5</v>
      </c>
      <c r="H242" s="225" t="s">
        <v>349</v>
      </c>
      <c r="I242" s="225" t="s">
        <v>586</v>
      </c>
      <c r="J242" s="228">
        <v>564</v>
      </c>
      <c r="K242" s="226">
        <v>137607</v>
      </c>
      <c r="L242" s="226">
        <v>169125</v>
      </c>
      <c r="M242" s="226">
        <v>206305</v>
      </c>
      <c r="N242" s="227">
        <v>177737.7</v>
      </c>
    </row>
    <row r="243" spans="1:14">
      <c r="A243" s="225" t="s">
        <v>583</v>
      </c>
      <c r="B243" s="225" t="s">
        <v>584</v>
      </c>
      <c r="C243" s="225">
        <v>100</v>
      </c>
      <c r="D243" s="225" t="s">
        <v>585</v>
      </c>
      <c r="E243" s="225">
        <v>-7</v>
      </c>
      <c r="F243" s="225" t="s">
        <v>563</v>
      </c>
      <c r="G243" s="225">
        <v>4</v>
      </c>
      <c r="H243" s="225" t="s">
        <v>382</v>
      </c>
      <c r="I243" s="225" t="s">
        <v>586</v>
      </c>
      <c r="J243" s="226">
        <v>6759</v>
      </c>
      <c r="K243" s="226">
        <v>171717</v>
      </c>
      <c r="L243" s="226">
        <v>202732</v>
      </c>
      <c r="M243" s="226">
        <v>243330</v>
      </c>
      <c r="N243" s="227">
        <v>215041.6</v>
      </c>
    </row>
    <row r="244" spans="1:14">
      <c r="A244" s="225" t="s">
        <v>583</v>
      </c>
      <c r="B244" s="225" t="s">
        <v>584</v>
      </c>
      <c r="C244" s="225">
        <v>100</v>
      </c>
      <c r="D244" s="225" t="s">
        <v>585</v>
      </c>
      <c r="E244" s="225">
        <v>-7</v>
      </c>
      <c r="F244" s="225" t="s">
        <v>563</v>
      </c>
      <c r="G244" s="225">
        <v>3</v>
      </c>
      <c r="H244" s="225" t="s">
        <v>383</v>
      </c>
      <c r="I244" s="225" t="s">
        <v>586</v>
      </c>
      <c r="J244" s="226">
        <v>3349</v>
      </c>
      <c r="K244" s="226">
        <v>200522</v>
      </c>
      <c r="L244" s="226">
        <v>239725</v>
      </c>
      <c r="M244" s="226">
        <v>287600</v>
      </c>
      <c r="N244" s="227">
        <v>253615.7</v>
      </c>
    </row>
    <row r="245" spans="1:14">
      <c r="A245" s="225" t="s">
        <v>583</v>
      </c>
      <c r="B245" s="225" t="s">
        <v>584</v>
      </c>
      <c r="C245" s="225">
        <v>100</v>
      </c>
      <c r="D245" s="225" t="s">
        <v>585</v>
      </c>
      <c r="E245" s="225">
        <v>-7</v>
      </c>
      <c r="F245" s="225" t="s">
        <v>563</v>
      </c>
      <c r="G245" s="225">
        <v>2</v>
      </c>
      <c r="H245" s="225" t="s">
        <v>352</v>
      </c>
      <c r="I245" s="225" t="s">
        <v>586</v>
      </c>
      <c r="J245" s="226">
        <v>2342</v>
      </c>
      <c r="K245" s="226">
        <v>244586</v>
      </c>
      <c r="L245" s="226">
        <v>293059</v>
      </c>
      <c r="M245" s="226">
        <v>352300</v>
      </c>
      <c r="N245" s="227">
        <v>310930.90000000002</v>
      </c>
    </row>
    <row r="246" spans="1:14">
      <c r="A246" s="225" t="s">
        <v>583</v>
      </c>
      <c r="B246" s="225" t="s">
        <v>584</v>
      </c>
      <c r="C246" s="225">
        <v>100</v>
      </c>
      <c r="D246" s="225" t="s">
        <v>585</v>
      </c>
      <c r="E246" s="225">
        <v>-7</v>
      </c>
      <c r="F246" s="225" t="s">
        <v>563</v>
      </c>
      <c r="G246" s="225">
        <v>6</v>
      </c>
      <c r="H246" s="225" t="s">
        <v>385</v>
      </c>
      <c r="I246" s="225" t="s">
        <v>586</v>
      </c>
      <c r="J246" s="228">
        <v>676</v>
      </c>
      <c r="K246" s="226">
        <v>254753</v>
      </c>
      <c r="L246" s="226">
        <v>307452</v>
      </c>
      <c r="M246" s="226">
        <v>369939</v>
      </c>
      <c r="N246" s="227">
        <v>324448.90000000002</v>
      </c>
    </row>
    <row r="247" spans="1:14">
      <c r="A247" s="225" t="s">
        <v>583</v>
      </c>
      <c r="B247" s="225" t="s">
        <v>584</v>
      </c>
      <c r="C247" s="225">
        <v>100</v>
      </c>
      <c r="D247" s="225" t="s">
        <v>585</v>
      </c>
      <c r="E247" s="225">
        <v>-7</v>
      </c>
      <c r="F247" s="225" t="s">
        <v>563</v>
      </c>
      <c r="G247" s="225">
        <v>1</v>
      </c>
      <c r="H247" s="225" t="s">
        <v>384</v>
      </c>
      <c r="I247" s="225" t="s">
        <v>586</v>
      </c>
      <c r="J247" s="228">
        <v>95</v>
      </c>
      <c r="K247" s="226">
        <v>434123</v>
      </c>
      <c r="L247" s="226">
        <v>538400</v>
      </c>
      <c r="M247" s="226">
        <v>625000</v>
      </c>
      <c r="N247" s="227">
        <v>559005</v>
      </c>
    </row>
    <row r="248" spans="1:14">
      <c r="A248" s="225" t="s">
        <v>583</v>
      </c>
      <c r="B248" s="225" t="s">
        <v>584</v>
      </c>
      <c r="C248" s="225">
        <v>100</v>
      </c>
      <c r="D248" s="225" t="s">
        <v>585</v>
      </c>
      <c r="E248" s="225">
        <v>94</v>
      </c>
      <c r="F248" s="225" t="s">
        <v>493</v>
      </c>
      <c r="G248" s="225">
        <v>5</v>
      </c>
      <c r="H248" s="225" t="s">
        <v>349</v>
      </c>
      <c r="I248" s="225" t="s">
        <v>586</v>
      </c>
      <c r="J248" s="228">
        <v>2</v>
      </c>
      <c r="K248" s="228"/>
      <c r="L248" s="228"/>
      <c r="M248" s="228"/>
      <c r="N248" s="228"/>
    </row>
    <row r="249" spans="1:14">
      <c r="A249" s="225" t="s">
        <v>583</v>
      </c>
      <c r="B249" s="225" t="s">
        <v>584</v>
      </c>
      <c r="C249" s="225">
        <v>100</v>
      </c>
      <c r="D249" s="225" t="s">
        <v>585</v>
      </c>
      <c r="E249" s="225">
        <v>94</v>
      </c>
      <c r="F249" s="225" t="s">
        <v>493</v>
      </c>
      <c r="G249" s="225">
        <v>4</v>
      </c>
      <c r="H249" s="225" t="s">
        <v>382</v>
      </c>
      <c r="I249" s="225" t="s">
        <v>586</v>
      </c>
      <c r="J249" s="228">
        <v>132</v>
      </c>
      <c r="K249" s="226">
        <v>154686</v>
      </c>
      <c r="L249" s="226">
        <v>169050</v>
      </c>
      <c r="M249" s="226">
        <v>186664</v>
      </c>
      <c r="N249" s="227">
        <v>180230.8</v>
      </c>
    </row>
    <row r="250" spans="1:14">
      <c r="A250" s="225" t="s">
        <v>583</v>
      </c>
      <c r="B250" s="225" t="s">
        <v>584</v>
      </c>
      <c r="C250" s="225">
        <v>100</v>
      </c>
      <c r="D250" s="225" t="s">
        <v>585</v>
      </c>
      <c r="E250" s="225">
        <v>94</v>
      </c>
      <c r="F250" s="225" t="s">
        <v>493</v>
      </c>
      <c r="G250" s="225">
        <v>3</v>
      </c>
      <c r="H250" s="225" t="s">
        <v>383</v>
      </c>
      <c r="I250" s="225" t="s">
        <v>586</v>
      </c>
      <c r="J250" s="228">
        <v>66</v>
      </c>
      <c r="K250" s="226">
        <v>178976</v>
      </c>
      <c r="L250" s="226">
        <v>189836</v>
      </c>
      <c r="M250" s="226">
        <v>210221</v>
      </c>
      <c r="N250" s="227">
        <v>205491.7</v>
      </c>
    </row>
    <row r="251" spans="1:14">
      <c r="A251" s="225" t="s">
        <v>583</v>
      </c>
      <c r="B251" s="225" t="s">
        <v>584</v>
      </c>
      <c r="C251" s="225">
        <v>100</v>
      </c>
      <c r="D251" s="225" t="s">
        <v>585</v>
      </c>
      <c r="E251" s="225">
        <v>94</v>
      </c>
      <c r="F251" s="225" t="s">
        <v>493</v>
      </c>
      <c r="G251" s="225">
        <v>2</v>
      </c>
      <c r="H251" s="225" t="s">
        <v>352</v>
      </c>
      <c r="I251" s="225" t="s">
        <v>586</v>
      </c>
      <c r="J251" s="228">
        <v>47</v>
      </c>
      <c r="K251" s="226">
        <v>210226</v>
      </c>
      <c r="L251" s="226">
        <v>234305</v>
      </c>
      <c r="M251" s="226">
        <v>306406</v>
      </c>
      <c r="N251" s="227">
        <v>258145</v>
      </c>
    </row>
    <row r="252" spans="1:14">
      <c r="A252" s="225" t="s">
        <v>583</v>
      </c>
      <c r="B252" s="225" t="s">
        <v>584</v>
      </c>
      <c r="C252" s="225">
        <v>100</v>
      </c>
      <c r="D252" s="225" t="s">
        <v>585</v>
      </c>
      <c r="E252" s="225">
        <v>94</v>
      </c>
      <c r="F252" s="225" t="s">
        <v>493</v>
      </c>
      <c r="G252" s="225">
        <v>6</v>
      </c>
      <c r="H252" s="225" t="s">
        <v>385</v>
      </c>
      <c r="I252" s="225" t="s">
        <v>586</v>
      </c>
      <c r="J252" s="228">
        <v>23</v>
      </c>
      <c r="K252" s="226">
        <v>210719</v>
      </c>
      <c r="L252" s="226">
        <v>241125</v>
      </c>
      <c r="M252" s="226">
        <v>284046</v>
      </c>
      <c r="N252" s="227">
        <v>253624.4</v>
      </c>
    </row>
    <row r="253" spans="1:14">
      <c r="A253" s="225" t="s">
        <v>583</v>
      </c>
      <c r="B253" s="225" t="s">
        <v>584</v>
      </c>
      <c r="C253" s="225">
        <v>100</v>
      </c>
      <c r="D253" s="225" t="s">
        <v>585</v>
      </c>
      <c r="E253" s="225">
        <v>94</v>
      </c>
      <c r="F253" s="225" t="s">
        <v>493</v>
      </c>
      <c r="G253" s="225">
        <v>1</v>
      </c>
      <c r="H253" s="225" t="s">
        <v>384</v>
      </c>
      <c r="I253" s="225" t="s">
        <v>586</v>
      </c>
      <c r="J253" s="228">
        <v>1</v>
      </c>
      <c r="K253" s="228"/>
      <c r="L253" s="228"/>
      <c r="M253" s="228"/>
      <c r="N253" s="228"/>
    </row>
    <row r="254" spans="1:14">
      <c r="A254" s="225" t="s">
        <v>583</v>
      </c>
      <c r="B254" s="225" t="s">
        <v>584</v>
      </c>
      <c r="C254" s="225">
        <v>100</v>
      </c>
      <c r="D254" s="225" t="s">
        <v>585</v>
      </c>
      <c r="E254" s="225">
        <v>42</v>
      </c>
      <c r="F254" s="225" t="s">
        <v>495</v>
      </c>
      <c r="G254" s="225">
        <v>5</v>
      </c>
      <c r="H254" s="225" t="s">
        <v>349</v>
      </c>
      <c r="I254" s="225" t="s">
        <v>586</v>
      </c>
      <c r="J254" s="228">
        <v>5</v>
      </c>
      <c r="K254" s="226">
        <v>166364</v>
      </c>
      <c r="L254" s="226">
        <v>208462</v>
      </c>
      <c r="M254" s="226">
        <v>238067</v>
      </c>
      <c r="N254" s="227">
        <v>203464.8</v>
      </c>
    </row>
    <row r="255" spans="1:14">
      <c r="A255" s="225" t="s">
        <v>583</v>
      </c>
      <c r="B255" s="225" t="s">
        <v>584</v>
      </c>
      <c r="C255" s="225">
        <v>100</v>
      </c>
      <c r="D255" s="225" t="s">
        <v>585</v>
      </c>
      <c r="E255" s="225">
        <v>42</v>
      </c>
      <c r="F255" s="225" t="s">
        <v>495</v>
      </c>
      <c r="G255" s="225">
        <v>4</v>
      </c>
      <c r="H255" s="225" t="s">
        <v>382</v>
      </c>
      <c r="I255" s="225" t="s">
        <v>586</v>
      </c>
      <c r="J255" s="228">
        <v>123</v>
      </c>
      <c r="K255" s="226">
        <v>165213</v>
      </c>
      <c r="L255" s="226">
        <v>172498</v>
      </c>
      <c r="M255" s="226">
        <v>191876</v>
      </c>
      <c r="N255" s="227">
        <v>184206.1</v>
      </c>
    </row>
    <row r="256" spans="1:14">
      <c r="A256" s="225" t="s">
        <v>583</v>
      </c>
      <c r="B256" s="225" t="s">
        <v>584</v>
      </c>
      <c r="C256" s="225">
        <v>100</v>
      </c>
      <c r="D256" s="225" t="s">
        <v>585</v>
      </c>
      <c r="E256" s="225">
        <v>42</v>
      </c>
      <c r="F256" s="225" t="s">
        <v>495</v>
      </c>
      <c r="G256" s="225">
        <v>3</v>
      </c>
      <c r="H256" s="225" t="s">
        <v>383</v>
      </c>
      <c r="I256" s="225" t="s">
        <v>586</v>
      </c>
      <c r="J256" s="228">
        <v>57</v>
      </c>
      <c r="K256" s="226">
        <v>195323</v>
      </c>
      <c r="L256" s="226">
        <v>212465</v>
      </c>
      <c r="M256" s="226">
        <v>224520</v>
      </c>
      <c r="N256" s="227">
        <v>215696.3</v>
      </c>
    </row>
    <row r="257" spans="1:14">
      <c r="A257" s="225" t="s">
        <v>583</v>
      </c>
      <c r="B257" s="225" t="s">
        <v>584</v>
      </c>
      <c r="C257" s="225">
        <v>100</v>
      </c>
      <c r="D257" s="225" t="s">
        <v>585</v>
      </c>
      <c r="E257" s="225">
        <v>42</v>
      </c>
      <c r="F257" s="225" t="s">
        <v>495</v>
      </c>
      <c r="G257" s="225">
        <v>2</v>
      </c>
      <c r="H257" s="225" t="s">
        <v>352</v>
      </c>
      <c r="I257" s="225" t="s">
        <v>586</v>
      </c>
      <c r="J257" s="228">
        <v>39</v>
      </c>
      <c r="K257" s="226">
        <v>223000</v>
      </c>
      <c r="L257" s="226">
        <v>259984</v>
      </c>
      <c r="M257" s="226">
        <v>310648</v>
      </c>
      <c r="N257" s="227">
        <v>273536.3</v>
      </c>
    </row>
    <row r="258" spans="1:14">
      <c r="A258" s="225" t="s">
        <v>583</v>
      </c>
      <c r="B258" s="225" t="s">
        <v>584</v>
      </c>
      <c r="C258" s="225">
        <v>100</v>
      </c>
      <c r="D258" s="225" t="s">
        <v>585</v>
      </c>
      <c r="E258" s="225">
        <v>42</v>
      </c>
      <c r="F258" s="225" t="s">
        <v>495</v>
      </c>
      <c r="G258" s="225">
        <v>6</v>
      </c>
      <c r="H258" s="225" t="s">
        <v>385</v>
      </c>
      <c r="I258" s="225" t="s">
        <v>586</v>
      </c>
      <c r="J258" s="228">
        <v>22</v>
      </c>
      <c r="K258" s="226">
        <v>275073</v>
      </c>
      <c r="L258" s="226">
        <v>313353</v>
      </c>
      <c r="M258" s="226">
        <v>348785</v>
      </c>
      <c r="N258" s="227">
        <v>313040.09999999998</v>
      </c>
    </row>
    <row r="259" spans="1:14">
      <c r="A259" s="225" t="s">
        <v>583</v>
      </c>
      <c r="B259" s="225" t="s">
        <v>584</v>
      </c>
      <c r="C259" s="225">
        <v>100</v>
      </c>
      <c r="D259" s="225" t="s">
        <v>585</v>
      </c>
      <c r="E259" s="225">
        <v>42</v>
      </c>
      <c r="F259" s="225" t="s">
        <v>495</v>
      </c>
      <c r="G259" s="225">
        <v>1</v>
      </c>
      <c r="H259" s="225" t="s">
        <v>384</v>
      </c>
      <c r="I259" s="225" t="s">
        <v>586</v>
      </c>
      <c r="J259" s="228">
        <v>1</v>
      </c>
      <c r="K259" s="228"/>
      <c r="L259" s="228"/>
      <c r="M259" s="228"/>
      <c r="N259" s="228"/>
    </row>
    <row r="260" spans="1:14">
      <c r="A260" s="225" t="s">
        <v>583</v>
      </c>
      <c r="B260" s="225" t="s">
        <v>584</v>
      </c>
      <c r="C260" s="225">
        <v>100</v>
      </c>
      <c r="D260" s="225" t="s">
        <v>585</v>
      </c>
      <c r="E260" s="225">
        <v>35</v>
      </c>
      <c r="F260" s="225" t="s">
        <v>505</v>
      </c>
      <c r="G260" s="225">
        <v>5</v>
      </c>
      <c r="H260" s="225" t="s">
        <v>349</v>
      </c>
      <c r="I260" s="225" t="s">
        <v>586</v>
      </c>
      <c r="J260" s="228">
        <v>25</v>
      </c>
      <c r="K260" s="226">
        <v>143701</v>
      </c>
      <c r="L260" s="226">
        <v>206437</v>
      </c>
      <c r="M260" s="226">
        <v>285385</v>
      </c>
      <c r="N260" s="227">
        <v>216170.4</v>
      </c>
    </row>
    <row r="261" spans="1:14">
      <c r="A261" s="225" t="s">
        <v>583</v>
      </c>
      <c r="B261" s="225" t="s">
        <v>584</v>
      </c>
      <c r="C261" s="225">
        <v>100</v>
      </c>
      <c r="D261" s="225" t="s">
        <v>585</v>
      </c>
      <c r="E261" s="225">
        <v>35</v>
      </c>
      <c r="F261" s="225" t="s">
        <v>505</v>
      </c>
      <c r="G261" s="225">
        <v>4</v>
      </c>
      <c r="H261" s="225" t="s">
        <v>382</v>
      </c>
      <c r="I261" s="225" t="s">
        <v>586</v>
      </c>
      <c r="J261" s="228">
        <v>588</v>
      </c>
      <c r="K261" s="226">
        <v>229859</v>
      </c>
      <c r="L261" s="226">
        <v>255927</v>
      </c>
      <c r="M261" s="226">
        <v>290564</v>
      </c>
      <c r="N261" s="227">
        <v>263873.8</v>
      </c>
    </row>
    <row r="262" spans="1:14">
      <c r="A262" s="225" t="s">
        <v>583</v>
      </c>
      <c r="B262" s="225" t="s">
        <v>584</v>
      </c>
      <c r="C262" s="225">
        <v>100</v>
      </c>
      <c r="D262" s="225" t="s">
        <v>585</v>
      </c>
      <c r="E262" s="225">
        <v>35</v>
      </c>
      <c r="F262" s="225" t="s">
        <v>505</v>
      </c>
      <c r="G262" s="225">
        <v>3</v>
      </c>
      <c r="H262" s="225" t="s">
        <v>383</v>
      </c>
      <c r="I262" s="225" t="s">
        <v>586</v>
      </c>
      <c r="J262" s="228">
        <v>270</v>
      </c>
      <c r="K262" s="226">
        <v>262300</v>
      </c>
      <c r="L262" s="226">
        <v>300541</v>
      </c>
      <c r="M262" s="226">
        <v>345221</v>
      </c>
      <c r="N262" s="227">
        <v>309190.7</v>
      </c>
    </row>
    <row r="263" spans="1:14">
      <c r="A263" s="225" t="s">
        <v>583</v>
      </c>
      <c r="B263" s="225" t="s">
        <v>584</v>
      </c>
      <c r="C263" s="225">
        <v>100</v>
      </c>
      <c r="D263" s="225" t="s">
        <v>585</v>
      </c>
      <c r="E263" s="225">
        <v>35</v>
      </c>
      <c r="F263" s="225" t="s">
        <v>505</v>
      </c>
      <c r="G263" s="225">
        <v>2</v>
      </c>
      <c r="H263" s="225" t="s">
        <v>352</v>
      </c>
      <c r="I263" s="225" t="s">
        <v>586</v>
      </c>
      <c r="J263" s="228">
        <v>152</v>
      </c>
      <c r="K263" s="226">
        <v>318880</v>
      </c>
      <c r="L263" s="226">
        <v>360953</v>
      </c>
      <c r="M263" s="226">
        <v>421161</v>
      </c>
      <c r="N263" s="227">
        <v>376576.2</v>
      </c>
    </row>
    <row r="264" spans="1:14">
      <c r="A264" s="225" t="s">
        <v>583</v>
      </c>
      <c r="B264" s="225" t="s">
        <v>584</v>
      </c>
      <c r="C264" s="225">
        <v>100</v>
      </c>
      <c r="D264" s="225" t="s">
        <v>585</v>
      </c>
      <c r="E264" s="225">
        <v>35</v>
      </c>
      <c r="F264" s="225" t="s">
        <v>505</v>
      </c>
      <c r="G264" s="225">
        <v>6</v>
      </c>
      <c r="H264" s="225" t="s">
        <v>385</v>
      </c>
      <c r="I264" s="225" t="s">
        <v>586</v>
      </c>
      <c r="J264" s="228">
        <v>43</v>
      </c>
      <c r="K264" s="226">
        <v>307325</v>
      </c>
      <c r="L264" s="226">
        <v>360394</v>
      </c>
      <c r="M264" s="226">
        <v>413795</v>
      </c>
      <c r="N264" s="227">
        <v>389147.9</v>
      </c>
    </row>
    <row r="265" spans="1:14">
      <c r="A265" s="225" t="s">
        <v>583</v>
      </c>
      <c r="B265" s="225" t="s">
        <v>584</v>
      </c>
      <c r="C265" s="225">
        <v>100</v>
      </c>
      <c r="D265" s="225" t="s">
        <v>585</v>
      </c>
      <c r="E265" s="225">
        <v>35</v>
      </c>
      <c r="F265" s="225" t="s">
        <v>505</v>
      </c>
      <c r="G265" s="225">
        <v>1</v>
      </c>
      <c r="H265" s="225" t="s">
        <v>384</v>
      </c>
      <c r="I265" s="225" t="s">
        <v>586</v>
      </c>
      <c r="J265" s="228">
        <v>6</v>
      </c>
      <c r="K265" s="226">
        <v>333389</v>
      </c>
      <c r="L265" s="226">
        <v>538692</v>
      </c>
      <c r="M265" s="226">
        <v>613000</v>
      </c>
      <c r="N265" s="227">
        <v>497662</v>
      </c>
    </row>
    <row r="266" spans="1:14">
      <c r="A266" s="225" t="s">
        <v>583</v>
      </c>
      <c r="B266" s="225" t="s">
        <v>584</v>
      </c>
      <c r="C266" s="225">
        <v>100</v>
      </c>
      <c r="D266" s="225" t="s">
        <v>585</v>
      </c>
      <c r="E266" s="225">
        <v>36</v>
      </c>
      <c r="F266" s="225" t="s">
        <v>510</v>
      </c>
      <c r="G266" s="225">
        <v>5</v>
      </c>
      <c r="H266" s="225" t="s">
        <v>349</v>
      </c>
      <c r="I266" s="225" t="s">
        <v>586</v>
      </c>
      <c r="J266" s="228">
        <v>37</v>
      </c>
      <c r="K266" s="226">
        <v>170717</v>
      </c>
      <c r="L266" s="226">
        <v>198306</v>
      </c>
      <c r="M266" s="226">
        <v>228948</v>
      </c>
      <c r="N266" s="227">
        <v>198677.2</v>
      </c>
    </row>
    <row r="267" spans="1:14">
      <c r="A267" s="225" t="s">
        <v>583</v>
      </c>
      <c r="B267" s="225" t="s">
        <v>584</v>
      </c>
      <c r="C267" s="225">
        <v>100</v>
      </c>
      <c r="D267" s="225" t="s">
        <v>585</v>
      </c>
      <c r="E267" s="225">
        <v>36</v>
      </c>
      <c r="F267" s="225" t="s">
        <v>510</v>
      </c>
      <c r="G267" s="225">
        <v>4</v>
      </c>
      <c r="H267" s="225" t="s">
        <v>382</v>
      </c>
      <c r="I267" s="225" t="s">
        <v>586</v>
      </c>
      <c r="J267" s="228">
        <v>481</v>
      </c>
      <c r="K267" s="226">
        <v>213973</v>
      </c>
      <c r="L267" s="226">
        <v>232157</v>
      </c>
      <c r="M267" s="226">
        <v>262169</v>
      </c>
      <c r="N267" s="227">
        <v>238836.3</v>
      </c>
    </row>
    <row r="268" spans="1:14">
      <c r="A268" s="225" t="s">
        <v>583</v>
      </c>
      <c r="B268" s="225" t="s">
        <v>584</v>
      </c>
      <c r="C268" s="225">
        <v>100</v>
      </c>
      <c r="D268" s="225" t="s">
        <v>585</v>
      </c>
      <c r="E268" s="225">
        <v>36</v>
      </c>
      <c r="F268" s="225" t="s">
        <v>510</v>
      </c>
      <c r="G268" s="225">
        <v>3</v>
      </c>
      <c r="H268" s="225" t="s">
        <v>383</v>
      </c>
      <c r="I268" s="225" t="s">
        <v>586</v>
      </c>
      <c r="J268" s="228">
        <v>191</v>
      </c>
      <c r="K268" s="226">
        <v>249857</v>
      </c>
      <c r="L268" s="226">
        <v>264879</v>
      </c>
      <c r="M268" s="226">
        <v>299425</v>
      </c>
      <c r="N268" s="227">
        <v>278077.3</v>
      </c>
    </row>
    <row r="269" spans="1:14">
      <c r="A269" s="225" t="s">
        <v>583</v>
      </c>
      <c r="B269" s="225" t="s">
        <v>584</v>
      </c>
      <c r="C269" s="225">
        <v>100</v>
      </c>
      <c r="D269" s="225" t="s">
        <v>585</v>
      </c>
      <c r="E269" s="225">
        <v>36</v>
      </c>
      <c r="F269" s="225" t="s">
        <v>510</v>
      </c>
      <c r="G269" s="225">
        <v>2</v>
      </c>
      <c r="H269" s="225" t="s">
        <v>352</v>
      </c>
      <c r="I269" s="225" t="s">
        <v>586</v>
      </c>
      <c r="J269" s="228">
        <v>119</v>
      </c>
      <c r="K269" s="226">
        <v>292168</v>
      </c>
      <c r="L269" s="226">
        <v>310402</v>
      </c>
      <c r="M269" s="226">
        <v>346358</v>
      </c>
      <c r="N269" s="227">
        <v>324677.40000000002</v>
      </c>
    </row>
    <row r="270" spans="1:14">
      <c r="A270" s="225" t="s">
        <v>583</v>
      </c>
      <c r="B270" s="225" t="s">
        <v>584</v>
      </c>
      <c r="C270" s="225">
        <v>100</v>
      </c>
      <c r="D270" s="225" t="s">
        <v>585</v>
      </c>
      <c r="E270" s="225">
        <v>36</v>
      </c>
      <c r="F270" s="225" t="s">
        <v>510</v>
      </c>
      <c r="G270" s="225">
        <v>6</v>
      </c>
      <c r="H270" s="225" t="s">
        <v>385</v>
      </c>
      <c r="I270" s="225" t="s">
        <v>586</v>
      </c>
      <c r="J270" s="228">
        <v>25</v>
      </c>
      <c r="K270" s="226">
        <v>346850</v>
      </c>
      <c r="L270" s="226">
        <v>384855</v>
      </c>
      <c r="M270" s="226">
        <v>427767</v>
      </c>
      <c r="N270" s="227">
        <v>385991.4</v>
      </c>
    </row>
    <row r="271" spans="1:14">
      <c r="A271" s="225" t="s">
        <v>583</v>
      </c>
      <c r="B271" s="225" t="s">
        <v>584</v>
      </c>
      <c r="C271" s="225">
        <v>100</v>
      </c>
      <c r="D271" s="225" t="s">
        <v>585</v>
      </c>
      <c r="E271" s="225">
        <v>36</v>
      </c>
      <c r="F271" s="225" t="s">
        <v>510</v>
      </c>
      <c r="G271" s="225">
        <v>1</v>
      </c>
      <c r="H271" s="225" t="s">
        <v>384</v>
      </c>
      <c r="I271" s="225" t="s">
        <v>586</v>
      </c>
      <c r="J271" s="228">
        <v>2</v>
      </c>
      <c r="K271" s="228"/>
      <c r="L271" s="228"/>
      <c r="M271" s="228"/>
      <c r="N271" s="228"/>
    </row>
    <row r="272" spans="1:14">
      <c r="A272" s="225" t="s">
        <v>583</v>
      </c>
      <c r="B272" s="225" t="s">
        <v>584</v>
      </c>
      <c r="C272" s="225">
        <v>100</v>
      </c>
      <c r="D272" s="225" t="s">
        <v>585</v>
      </c>
      <c r="E272" s="225">
        <v>37</v>
      </c>
      <c r="F272" s="225" t="s">
        <v>512</v>
      </c>
      <c r="G272" s="225">
        <v>5</v>
      </c>
      <c r="H272" s="225" t="s">
        <v>349</v>
      </c>
      <c r="I272" s="225" t="s">
        <v>586</v>
      </c>
      <c r="J272" s="228">
        <v>16</v>
      </c>
      <c r="K272" s="226">
        <v>117841</v>
      </c>
      <c r="L272" s="226">
        <v>132827</v>
      </c>
      <c r="M272" s="226">
        <v>141218</v>
      </c>
      <c r="N272" s="227">
        <v>133026.9</v>
      </c>
    </row>
    <row r="273" spans="1:14">
      <c r="A273" s="225" t="s">
        <v>583</v>
      </c>
      <c r="B273" s="225" t="s">
        <v>584</v>
      </c>
      <c r="C273" s="225">
        <v>100</v>
      </c>
      <c r="D273" s="225" t="s">
        <v>585</v>
      </c>
      <c r="E273" s="225">
        <v>37</v>
      </c>
      <c r="F273" s="225" t="s">
        <v>512</v>
      </c>
      <c r="G273" s="225">
        <v>4</v>
      </c>
      <c r="H273" s="225" t="s">
        <v>382</v>
      </c>
      <c r="I273" s="225" t="s">
        <v>586</v>
      </c>
      <c r="J273" s="228">
        <v>247</v>
      </c>
      <c r="K273" s="226">
        <v>155031</v>
      </c>
      <c r="L273" s="226">
        <v>166094</v>
      </c>
      <c r="M273" s="226">
        <v>179010</v>
      </c>
      <c r="N273" s="227">
        <v>168906.8</v>
      </c>
    </row>
    <row r="274" spans="1:14">
      <c r="A274" s="225" t="s">
        <v>583</v>
      </c>
      <c r="B274" s="225" t="s">
        <v>584</v>
      </c>
      <c r="C274" s="225">
        <v>100</v>
      </c>
      <c r="D274" s="225" t="s">
        <v>585</v>
      </c>
      <c r="E274" s="225">
        <v>37</v>
      </c>
      <c r="F274" s="225" t="s">
        <v>512</v>
      </c>
      <c r="G274" s="225">
        <v>3</v>
      </c>
      <c r="H274" s="225" t="s">
        <v>383</v>
      </c>
      <c r="I274" s="225" t="s">
        <v>586</v>
      </c>
      <c r="J274" s="228">
        <v>151</v>
      </c>
      <c r="K274" s="226">
        <v>180502</v>
      </c>
      <c r="L274" s="226">
        <v>191808</v>
      </c>
      <c r="M274" s="226">
        <v>206333</v>
      </c>
      <c r="N274" s="227">
        <v>196719.7</v>
      </c>
    </row>
    <row r="275" spans="1:14">
      <c r="A275" s="225" t="s">
        <v>583</v>
      </c>
      <c r="B275" s="225" t="s">
        <v>584</v>
      </c>
      <c r="C275" s="225">
        <v>100</v>
      </c>
      <c r="D275" s="225" t="s">
        <v>585</v>
      </c>
      <c r="E275" s="225">
        <v>37</v>
      </c>
      <c r="F275" s="225" t="s">
        <v>512</v>
      </c>
      <c r="G275" s="225">
        <v>2</v>
      </c>
      <c r="H275" s="225" t="s">
        <v>352</v>
      </c>
      <c r="I275" s="225" t="s">
        <v>586</v>
      </c>
      <c r="J275" s="228">
        <v>99</v>
      </c>
      <c r="K275" s="226">
        <v>223681</v>
      </c>
      <c r="L275" s="226">
        <v>242180</v>
      </c>
      <c r="M275" s="226">
        <v>281863</v>
      </c>
      <c r="N275" s="227">
        <v>255861.6</v>
      </c>
    </row>
    <row r="276" spans="1:14">
      <c r="A276" s="225" t="s">
        <v>583</v>
      </c>
      <c r="B276" s="225" t="s">
        <v>584</v>
      </c>
      <c r="C276" s="225">
        <v>100</v>
      </c>
      <c r="D276" s="225" t="s">
        <v>585</v>
      </c>
      <c r="E276" s="225">
        <v>37</v>
      </c>
      <c r="F276" s="225" t="s">
        <v>512</v>
      </c>
      <c r="G276" s="225">
        <v>6</v>
      </c>
      <c r="H276" s="225" t="s">
        <v>385</v>
      </c>
      <c r="I276" s="225" t="s">
        <v>586</v>
      </c>
      <c r="J276" s="228">
        <v>36</v>
      </c>
      <c r="K276" s="226">
        <v>240585</v>
      </c>
      <c r="L276" s="226">
        <v>273160</v>
      </c>
      <c r="M276" s="226">
        <v>303354</v>
      </c>
      <c r="N276" s="227">
        <v>271748.90000000002</v>
      </c>
    </row>
    <row r="277" spans="1:14">
      <c r="A277" s="225" t="s">
        <v>583</v>
      </c>
      <c r="B277" s="225" t="s">
        <v>584</v>
      </c>
      <c r="C277" s="225">
        <v>100</v>
      </c>
      <c r="D277" s="225" t="s">
        <v>585</v>
      </c>
      <c r="E277" s="225">
        <v>37</v>
      </c>
      <c r="F277" s="225" t="s">
        <v>512</v>
      </c>
      <c r="G277" s="225">
        <v>1</v>
      </c>
      <c r="H277" s="225" t="s">
        <v>384</v>
      </c>
      <c r="I277" s="225" t="s">
        <v>586</v>
      </c>
      <c r="J277" s="228">
        <v>3</v>
      </c>
      <c r="K277" s="228"/>
      <c r="L277" s="228"/>
      <c r="M277" s="228"/>
      <c r="N277" s="228"/>
    </row>
    <row r="278" spans="1:14">
      <c r="A278" s="225" t="s">
        <v>583</v>
      </c>
      <c r="B278" s="225" t="s">
        <v>584</v>
      </c>
      <c r="C278" s="225">
        <v>100</v>
      </c>
      <c r="D278" s="225" t="s">
        <v>585</v>
      </c>
      <c r="E278" s="225">
        <v>74</v>
      </c>
      <c r="F278" s="225" t="s">
        <v>516</v>
      </c>
      <c r="G278" s="225">
        <v>5</v>
      </c>
      <c r="H278" s="225" t="s">
        <v>349</v>
      </c>
      <c r="I278" s="225" t="s">
        <v>586</v>
      </c>
      <c r="J278" s="228">
        <v>20</v>
      </c>
      <c r="K278" s="226">
        <v>152376</v>
      </c>
      <c r="L278" s="226">
        <v>166776</v>
      </c>
      <c r="M278" s="226">
        <v>199381</v>
      </c>
      <c r="N278" s="227">
        <v>170634.5</v>
      </c>
    </row>
    <row r="279" spans="1:14">
      <c r="A279" s="225" t="s">
        <v>583</v>
      </c>
      <c r="B279" s="225" t="s">
        <v>584</v>
      </c>
      <c r="C279" s="225">
        <v>100</v>
      </c>
      <c r="D279" s="225" t="s">
        <v>585</v>
      </c>
      <c r="E279" s="225">
        <v>74</v>
      </c>
      <c r="F279" s="225" t="s">
        <v>516</v>
      </c>
      <c r="G279" s="225">
        <v>4</v>
      </c>
      <c r="H279" s="225" t="s">
        <v>382</v>
      </c>
      <c r="I279" s="225" t="s">
        <v>586</v>
      </c>
      <c r="J279" s="228">
        <v>338</v>
      </c>
      <c r="K279" s="226">
        <v>195000</v>
      </c>
      <c r="L279" s="226">
        <v>208808</v>
      </c>
      <c r="M279" s="226">
        <v>230000</v>
      </c>
      <c r="N279" s="227">
        <v>214635.7</v>
      </c>
    </row>
    <row r="280" spans="1:14">
      <c r="A280" s="225" t="s">
        <v>583</v>
      </c>
      <c r="B280" s="225" t="s">
        <v>584</v>
      </c>
      <c r="C280" s="225">
        <v>100</v>
      </c>
      <c r="D280" s="225" t="s">
        <v>585</v>
      </c>
      <c r="E280" s="225">
        <v>74</v>
      </c>
      <c r="F280" s="225" t="s">
        <v>516</v>
      </c>
      <c r="G280" s="225">
        <v>3</v>
      </c>
      <c r="H280" s="225" t="s">
        <v>383</v>
      </c>
      <c r="I280" s="225" t="s">
        <v>586</v>
      </c>
      <c r="J280" s="228">
        <v>194</v>
      </c>
      <c r="K280" s="226">
        <v>230236</v>
      </c>
      <c r="L280" s="226">
        <v>249998</v>
      </c>
      <c r="M280" s="226">
        <v>281844</v>
      </c>
      <c r="N280" s="227">
        <v>260046.7</v>
      </c>
    </row>
    <row r="281" spans="1:14">
      <c r="A281" s="225" t="s">
        <v>583</v>
      </c>
      <c r="B281" s="225" t="s">
        <v>584</v>
      </c>
      <c r="C281" s="225">
        <v>100</v>
      </c>
      <c r="D281" s="225" t="s">
        <v>585</v>
      </c>
      <c r="E281" s="225">
        <v>74</v>
      </c>
      <c r="F281" s="225" t="s">
        <v>516</v>
      </c>
      <c r="G281" s="225">
        <v>2</v>
      </c>
      <c r="H281" s="225" t="s">
        <v>352</v>
      </c>
      <c r="I281" s="225" t="s">
        <v>586</v>
      </c>
      <c r="J281" s="228">
        <v>121</v>
      </c>
      <c r="K281" s="226">
        <v>279386</v>
      </c>
      <c r="L281" s="226">
        <v>313445</v>
      </c>
      <c r="M281" s="226">
        <v>346861</v>
      </c>
      <c r="N281" s="227">
        <v>315116.59999999998</v>
      </c>
    </row>
    <row r="282" spans="1:14">
      <c r="A282" s="225" t="s">
        <v>583</v>
      </c>
      <c r="B282" s="225" t="s">
        <v>584</v>
      </c>
      <c r="C282" s="225">
        <v>100</v>
      </c>
      <c r="D282" s="225" t="s">
        <v>585</v>
      </c>
      <c r="E282" s="225">
        <v>74</v>
      </c>
      <c r="F282" s="225" t="s">
        <v>516</v>
      </c>
      <c r="G282" s="225">
        <v>6</v>
      </c>
      <c r="H282" s="225" t="s">
        <v>385</v>
      </c>
      <c r="I282" s="225" t="s">
        <v>586</v>
      </c>
      <c r="J282" s="228">
        <v>36</v>
      </c>
      <c r="K282" s="226">
        <v>314731</v>
      </c>
      <c r="L282" s="226">
        <v>342065</v>
      </c>
      <c r="M282" s="226">
        <v>394478</v>
      </c>
      <c r="N282" s="227">
        <v>358963.4</v>
      </c>
    </row>
    <row r="283" spans="1:14">
      <c r="A283" s="225" t="s">
        <v>583</v>
      </c>
      <c r="B283" s="225" t="s">
        <v>584</v>
      </c>
      <c r="C283" s="225">
        <v>100</v>
      </c>
      <c r="D283" s="225" t="s">
        <v>585</v>
      </c>
      <c r="E283" s="225">
        <v>74</v>
      </c>
      <c r="F283" s="225" t="s">
        <v>516</v>
      </c>
      <c r="G283" s="225">
        <v>1</v>
      </c>
      <c r="H283" s="225" t="s">
        <v>384</v>
      </c>
      <c r="I283" s="225" t="s">
        <v>586</v>
      </c>
      <c r="J283" s="228">
        <v>3</v>
      </c>
      <c r="K283" s="228"/>
      <c r="L283" s="228"/>
      <c r="M283" s="228"/>
      <c r="N283" s="228"/>
    </row>
    <row r="284" spans="1:14">
      <c r="A284" s="225" t="s">
        <v>583</v>
      </c>
      <c r="B284" s="225" t="s">
        <v>584</v>
      </c>
      <c r="C284" s="225">
        <v>100</v>
      </c>
      <c r="D284" s="225" t="s">
        <v>585</v>
      </c>
      <c r="E284" s="225">
        <v>31</v>
      </c>
      <c r="F284" s="225" t="s">
        <v>517</v>
      </c>
      <c r="G284" s="225">
        <v>5</v>
      </c>
      <c r="H284" s="225" t="s">
        <v>349</v>
      </c>
      <c r="I284" s="225" t="s">
        <v>586</v>
      </c>
      <c r="J284" s="228">
        <v>99</v>
      </c>
      <c r="K284" s="226">
        <v>106208</v>
      </c>
      <c r="L284" s="226">
        <v>161587</v>
      </c>
      <c r="M284" s="226">
        <v>188500</v>
      </c>
      <c r="N284" s="227">
        <v>159041.60000000001</v>
      </c>
    </row>
    <row r="285" spans="1:14">
      <c r="A285" s="225" t="s">
        <v>583</v>
      </c>
      <c r="B285" s="225" t="s">
        <v>584</v>
      </c>
      <c r="C285" s="225">
        <v>100</v>
      </c>
      <c r="D285" s="225" t="s">
        <v>585</v>
      </c>
      <c r="E285" s="225">
        <v>31</v>
      </c>
      <c r="F285" s="225" t="s">
        <v>517</v>
      </c>
      <c r="G285" s="225">
        <v>4</v>
      </c>
      <c r="H285" s="225" t="s">
        <v>382</v>
      </c>
      <c r="I285" s="225" t="s">
        <v>586</v>
      </c>
      <c r="J285" s="226">
        <v>1221</v>
      </c>
      <c r="K285" s="226">
        <v>160880</v>
      </c>
      <c r="L285" s="226">
        <v>180138</v>
      </c>
      <c r="M285" s="226">
        <v>210265</v>
      </c>
      <c r="N285" s="227">
        <v>194429.4</v>
      </c>
    </row>
    <row r="286" spans="1:14">
      <c r="A286" s="225" t="s">
        <v>583</v>
      </c>
      <c r="B286" s="225" t="s">
        <v>584</v>
      </c>
      <c r="C286" s="225">
        <v>100</v>
      </c>
      <c r="D286" s="225" t="s">
        <v>585</v>
      </c>
      <c r="E286" s="225">
        <v>31</v>
      </c>
      <c r="F286" s="225" t="s">
        <v>517</v>
      </c>
      <c r="G286" s="225">
        <v>3</v>
      </c>
      <c r="H286" s="225" t="s">
        <v>383</v>
      </c>
      <c r="I286" s="225" t="s">
        <v>586</v>
      </c>
      <c r="J286" s="228">
        <v>520</v>
      </c>
      <c r="K286" s="226">
        <v>181908</v>
      </c>
      <c r="L286" s="226">
        <v>201603</v>
      </c>
      <c r="M286" s="226">
        <v>231736</v>
      </c>
      <c r="N286" s="227">
        <v>215390.7</v>
      </c>
    </row>
    <row r="287" spans="1:14">
      <c r="A287" s="225" t="s">
        <v>583</v>
      </c>
      <c r="B287" s="225" t="s">
        <v>584</v>
      </c>
      <c r="C287" s="225">
        <v>100</v>
      </c>
      <c r="D287" s="225" t="s">
        <v>585</v>
      </c>
      <c r="E287" s="225">
        <v>31</v>
      </c>
      <c r="F287" s="225" t="s">
        <v>517</v>
      </c>
      <c r="G287" s="225">
        <v>2</v>
      </c>
      <c r="H287" s="225" t="s">
        <v>352</v>
      </c>
      <c r="I287" s="225" t="s">
        <v>586</v>
      </c>
      <c r="J287" s="228">
        <v>330</v>
      </c>
      <c r="K287" s="226">
        <v>219423</v>
      </c>
      <c r="L287" s="226">
        <v>250927</v>
      </c>
      <c r="M287" s="226">
        <v>304538</v>
      </c>
      <c r="N287" s="227">
        <v>262836.90000000002</v>
      </c>
    </row>
    <row r="288" spans="1:14">
      <c r="A288" s="225" t="s">
        <v>583</v>
      </c>
      <c r="B288" s="225" t="s">
        <v>584</v>
      </c>
      <c r="C288" s="225">
        <v>100</v>
      </c>
      <c r="D288" s="225" t="s">
        <v>585</v>
      </c>
      <c r="E288" s="225">
        <v>31</v>
      </c>
      <c r="F288" s="225" t="s">
        <v>517</v>
      </c>
      <c r="G288" s="225">
        <v>6</v>
      </c>
      <c r="H288" s="225" t="s">
        <v>385</v>
      </c>
      <c r="I288" s="225" t="s">
        <v>586</v>
      </c>
      <c r="J288" s="228">
        <v>65</v>
      </c>
      <c r="K288" s="226">
        <v>231282</v>
      </c>
      <c r="L288" s="226">
        <v>255193</v>
      </c>
      <c r="M288" s="226">
        <v>307629</v>
      </c>
      <c r="N288" s="227">
        <v>281495</v>
      </c>
    </row>
    <row r="289" spans="1:14">
      <c r="A289" s="225" t="s">
        <v>583</v>
      </c>
      <c r="B289" s="225" t="s">
        <v>584</v>
      </c>
      <c r="C289" s="225">
        <v>100</v>
      </c>
      <c r="D289" s="225" t="s">
        <v>585</v>
      </c>
      <c r="E289" s="225">
        <v>31</v>
      </c>
      <c r="F289" s="225" t="s">
        <v>517</v>
      </c>
      <c r="G289" s="225">
        <v>1</v>
      </c>
      <c r="H289" s="225" t="s">
        <v>384</v>
      </c>
      <c r="I289" s="225" t="s">
        <v>586</v>
      </c>
      <c r="J289" s="228">
        <v>30</v>
      </c>
      <c r="K289" s="226">
        <v>425000</v>
      </c>
      <c r="L289" s="226">
        <v>493359</v>
      </c>
      <c r="M289" s="226">
        <v>599296</v>
      </c>
      <c r="N289" s="227">
        <v>533988.4</v>
      </c>
    </row>
    <row r="290" spans="1:14">
      <c r="A290" s="225" t="s">
        <v>583</v>
      </c>
      <c r="B290" s="225" t="s">
        <v>584</v>
      </c>
      <c r="C290" s="225">
        <v>100</v>
      </c>
      <c r="D290" s="225" t="s">
        <v>585</v>
      </c>
      <c r="E290" s="225">
        <v>75</v>
      </c>
      <c r="F290" s="225" t="s">
        <v>519</v>
      </c>
      <c r="G290" s="225">
        <v>5</v>
      </c>
      <c r="H290" s="225" t="s">
        <v>349</v>
      </c>
      <c r="I290" s="225" t="s">
        <v>586</v>
      </c>
      <c r="J290" s="228">
        <v>1</v>
      </c>
      <c r="K290" s="228"/>
      <c r="L290" s="228"/>
      <c r="M290" s="228"/>
      <c r="N290" s="228"/>
    </row>
    <row r="291" spans="1:14">
      <c r="A291" s="225" t="s">
        <v>583</v>
      </c>
      <c r="B291" s="225" t="s">
        <v>584</v>
      </c>
      <c r="C291" s="225">
        <v>100</v>
      </c>
      <c r="D291" s="225" t="s">
        <v>585</v>
      </c>
      <c r="E291" s="225">
        <v>75</v>
      </c>
      <c r="F291" s="225" t="s">
        <v>519</v>
      </c>
      <c r="G291" s="225">
        <v>4</v>
      </c>
      <c r="H291" s="225" t="s">
        <v>382</v>
      </c>
      <c r="I291" s="225" t="s">
        <v>586</v>
      </c>
      <c r="J291" s="228">
        <v>82</v>
      </c>
      <c r="K291" s="226">
        <v>162817</v>
      </c>
      <c r="L291" s="226">
        <v>173807</v>
      </c>
      <c r="M291" s="226">
        <v>189966</v>
      </c>
      <c r="N291" s="227">
        <v>176606</v>
      </c>
    </row>
    <row r="292" spans="1:14">
      <c r="A292" s="225" t="s">
        <v>583</v>
      </c>
      <c r="B292" s="225" t="s">
        <v>584</v>
      </c>
      <c r="C292" s="225">
        <v>100</v>
      </c>
      <c r="D292" s="225" t="s">
        <v>585</v>
      </c>
      <c r="E292" s="225">
        <v>75</v>
      </c>
      <c r="F292" s="225" t="s">
        <v>519</v>
      </c>
      <c r="G292" s="225">
        <v>3</v>
      </c>
      <c r="H292" s="225" t="s">
        <v>383</v>
      </c>
      <c r="I292" s="225" t="s">
        <v>586</v>
      </c>
      <c r="J292" s="228">
        <v>57</v>
      </c>
      <c r="K292" s="226">
        <v>180495</v>
      </c>
      <c r="L292" s="226">
        <v>199400</v>
      </c>
      <c r="M292" s="226">
        <v>217807</v>
      </c>
      <c r="N292" s="227">
        <v>194273.7</v>
      </c>
    </row>
    <row r="293" spans="1:14">
      <c r="A293" s="225" t="s">
        <v>583</v>
      </c>
      <c r="B293" s="225" t="s">
        <v>584</v>
      </c>
      <c r="C293" s="225">
        <v>100</v>
      </c>
      <c r="D293" s="225" t="s">
        <v>585</v>
      </c>
      <c r="E293" s="225">
        <v>75</v>
      </c>
      <c r="F293" s="225" t="s">
        <v>519</v>
      </c>
      <c r="G293" s="225">
        <v>2</v>
      </c>
      <c r="H293" s="225" t="s">
        <v>352</v>
      </c>
      <c r="I293" s="225" t="s">
        <v>586</v>
      </c>
      <c r="J293" s="228">
        <v>73</v>
      </c>
      <c r="K293" s="226">
        <v>209121</v>
      </c>
      <c r="L293" s="226">
        <v>243786</v>
      </c>
      <c r="M293" s="226">
        <v>280350</v>
      </c>
      <c r="N293" s="227">
        <v>251627.2</v>
      </c>
    </row>
    <row r="294" spans="1:14">
      <c r="A294" s="225" t="s">
        <v>583</v>
      </c>
      <c r="B294" s="225" t="s">
        <v>584</v>
      </c>
      <c r="C294" s="225">
        <v>100</v>
      </c>
      <c r="D294" s="225" t="s">
        <v>585</v>
      </c>
      <c r="E294" s="225">
        <v>75</v>
      </c>
      <c r="F294" s="225" t="s">
        <v>519</v>
      </c>
      <c r="G294" s="225">
        <v>6</v>
      </c>
      <c r="H294" s="225" t="s">
        <v>385</v>
      </c>
      <c r="I294" s="225" t="s">
        <v>586</v>
      </c>
      <c r="J294" s="228">
        <v>26</v>
      </c>
      <c r="K294" s="226">
        <v>222165</v>
      </c>
      <c r="L294" s="226">
        <v>276464</v>
      </c>
      <c r="M294" s="226">
        <v>341060</v>
      </c>
      <c r="N294" s="227">
        <v>292268.5</v>
      </c>
    </row>
    <row r="295" spans="1:14">
      <c r="A295" s="225" t="s">
        <v>583</v>
      </c>
      <c r="B295" s="225" t="s">
        <v>584</v>
      </c>
      <c r="C295" s="225">
        <v>100</v>
      </c>
      <c r="D295" s="225" t="s">
        <v>585</v>
      </c>
      <c r="E295" s="225">
        <v>75</v>
      </c>
      <c r="F295" s="225" t="s">
        <v>519</v>
      </c>
      <c r="G295" s="225">
        <v>1</v>
      </c>
      <c r="H295" s="225" t="s">
        <v>384</v>
      </c>
      <c r="I295" s="225" t="s">
        <v>586</v>
      </c>
      <c r="J295" s="228">
        <v>1</v>
      </c>
      <c r="K295" s="228"/>
      <c r="L295" s="228"/>
      <c r="M295" s="228"/>
      <c r="N295" s="228"/>
    </row>
    <row r="296" spans="1:14">
      <c r="A296" s="225" t="s">
        <v>583</v>
      </c>
      <c r="B296" s="225" t="s">
        <v>584</v>
      </c>
      <c r="C296" s="225">
        <v>100</v>
      </c>
      <c r="D296" s="225" t="s">
        <v>585</v>
      </c>
      <c r="E296" s="225">
        <v>38</v>
      </c>
      <c r="F296" s="225" t="s">
        <v>522</v>
      </c>
      <c r="G296" s="225">
        <v>5</v>
      </c>
      <c r="H296" s="225" t="s">
        <v>349</v>
      </c>
      <c r="I296" s="225" t="s">
        <v>586</v>
      </c>
      <c r="J296" s="228">
        <v>42</v>
      </c>
      <c r="K296" s="226">
        <v>119292</v>
      </c>
      <c r="L296" s="226">
        <v>138707</v>
      </c>
      <c r="M296" s="226">
        <v>154114</v>
      </c>
      <c r="N296" s="227">
        <v>145888.70000000001</v>
      </c>
    </row>
    <row r="297" spans="1:14">
      <c r="A297" s="225" t="s">
        <v>583</v>
      </c>
      <c r="B297" s="225" t="s">
        <v>584</v>
      </c>
      <c r="C297" s="225">
        <v>100</v>
      </c>
      <c r="D297" s="225" t="s">
        <v>585</v>
      </c>
      <c r="E297" s="225">
        <v>38</v>
      </c>
      <c r="F297" s="225" t="s">
        <v>522</v>
      </c>
      <c r="G297" s="225">
        <v>4</v>
      </c>
      <c r="H297" s="225" t="s">
        <v>382</v>
      </c>
      <c r="I297" s="225" t="s">
        <v>586</v>
      </c>
      <c r="J297" s="228">
        <v>458</v>
      </c>
      <c r="K297" s="226">
        <v>165000</v>
      </c>
      <c r="L297" s="226">
        <v>178229</v>
      </c>
      <c r="M297" s="226">
        <v>197175</v>
      </c>
      <c r="N297" s="227">
        <v>185872</v>
      </c>
    </row>
    <row r="298" spans="1:14">
      <c r="A298" s="225" t="s">
        <v>583</v>
      </c>
      <c r="B298" s="225" t="s">
        <v>584</v>
      </c>
      <c r="C298" s="225">
        <v>100</v>
      </c>
      <c r="D298" s="225" t="s">
        <v>585</v>
      </c>
      <c r="E298" s="225">
        <v>38</v>
      </c>
      <c r="F298" s="225" t="s">
        <v>522</v>
      </c>
      <c r="G298" s="225">
        <v>3</v>
      </c>
      <c r="H298" s="225" t="s">
        <v>383</v>
      </c>
      <c r="I298" s="225" t="s">
        <v>586</v>
      </c>
      <c r="J298" s="228">
        <v>284</v>
      </c>
      <c r="K298" s="226">
        <v>201983</v>
      </c>
      <c r="L298" s="226">
        <v>224634</v>
      </c>
      <c r="M298" s="226">
        <v>242199</v>
      </c>
      <c r="N298" s="227">
        <v>225967.2</v>
      </c>
    </row>
    <row r="299" spans="1:14">
      <c r="A299" s="225" t="s">
        <v>583</v>
      </c>
      <c r="B299" s="225" t="s">
        <v>584</v>
      </c>
      <c r="C299" s="225">
        <v>100</v>
      </c>
      <c r="D299" s="225" t="s">
        <v>585</v>
      </c>
      <c r="E299" s="225">
        <v>38</v>
      </c>
      <c r="F299" s="225" t="s">
        <v>522</v>
      </c>
      <c r="G299" s="225">
        <v>2</v>
      </c>
      <c r="H299" s="225" t="s">
        <v>352</v>
      </c>
      <c r="I299" s="225" t="s">
        <v>586</v>
      </c>
      <c r="J299" s="228">
        <v>241</v>
      </c>
      <c r="K299" s="226">
        <v>249300</v>
      </c>
      <c r="L299" s="226">
        <v>282121</v>
      </c>
      <c r="M299" s="226">
        <v>321277</v>
      </c>
      <c r="N299" s="227">
        <v>299741.2</v>
      </c>
    </row>
    <row r="300" spans="1:14">
      <c r="A300" s="225" t="s">
        <v>583</v>
      </c>
      <c r="B300" s="225" t="s">
        <v>584</v>
      </c>
      <c r="C300" s="225">
        <v>100</v>
      </c>
      <c r="D300" s="225" t="s">
        <v>585</v>
      </c>
      <c r="E300" s="225">
        <v>38</v>
      </c>
      <c r="F300" s="225" t="s">
        <v>522</v>
      </c>
      <c r="G300" s="225">
        <v>6</v>
      </c>
      <c r="H300" s="225" t="s">
        <v>385</v>
      </c>
      <c r="I300" s="225" t="s">
        <v>586</v>
      </c>
      <c r="J300" s="228">
        <v>55</v>
      </c>
      <c r="K300" s="226">
        <v>273943</v>
      </c>
      <c r="L300" s="226">
        <v>320000</v>
      </c>
      <c r="M300" s="226">
        <v>386026</v>
      </c>
      <c r="N300" s="227">
        <v>327178.7</v>
      </c>
    </row>
    <row r="301" spans="1:14">
      <c r="A301" s="225" t="s">
        <v>583</v>
      </c>
      <c r="B301" s="225" t="s">
        <v>584</v>
      </c>
      <c r="C301" s="225">
        <v>100</v>
      </c>
      <c r="D301" s="225" t="s">
        <v>585</v>
      </c>
      <c r="E301" s="225">
        <v>38</v>
      </c>
      <c r="F301" s="225" t="s">
        <v>522</v>
      </c>
      <c r="G301" s="225">
        <v>1</v>
      </c>
      <c r="H301" s="225" t="s">
        <v>384</v>
      </c>
      <c r="I301" s="225" t="s">
        <v>586</v>
      </c>
      <c r="J301" s="228">
        <v>4</v>
      </c>
      <c r="K301" s="228"/>
      <c r="L301" s="228"/>
      <c r="M301" s="228"/>
      <c r="N301" s="228"/>
    </row>
    <row r="302" spans="1:14">
      <c r="A302" s="225" t="s">
        <v>583</v>
      </c>
      <c r="B302" s="225" t="s">
        <v>584</v>
      </c>
      <c r="C302" s="225">
        <v>100</v>
      </c>
      <c r="D302" s="225" t="s">
        <v>585</v>
      </c>
      <c r="E302" s="225">
        <v>95</v>
      </c>
      <c r="F302" s="225" t="s">
        <v>524</v>
      </c>
      <c r="G302" s="225">
        <v>5</v>
      </c>
      <c r="H302" s="225" t="s">
        <v>349</v>
      </c>
      <c r="I302" s="225" t="s">
        <v>586</v>
      </c>
      <c r="J302" s="228">
        <v>162</v>
      </c>
      <c r="K302" s="226">
        <v>157600</v>
      </c>
      <c r="L302" s="226">
        <v>171347</v>
      </c>
      <c r="M302" s="226">
        <v>194095</v>
      </c>
      <c r="N302" s="227">
        <v>171798</v>
      </c>
    </row>
    <row r="303" spans="1:14">
      <c r="A303" s="225" t="s">
        <v>583</v>
      </c>
      <c r="B303" s="225" t="s">
        <v>584</v>
      </c>
      <c r="C303" s="225">
        <v>100</v>
      </c>
      <c r="D303" s="225" t="s">
        <v>585</v>
      </c>
      <c r="E303" s="225">
        <v>95</v>
      </c>
      <c r="F303" s="225" t="s">
        <v>524</v>
      </c>
      <c r="G303" s="225">
        <v>4</v>
      </c>
      <c r="H303" s="225" t="s">
        <v>382</v>
      </c>
      <c r="I303" s="225" t="s">
        <v>586</v>
      </c>
      <c r="J303" s="228">
        <v>615</v>
      </c>
      <c r="K303" s="226">
        <v>169018</v>
      </c>
      <c r="L303" s="226">
        <v>184977</v>
      </c>
      <c r="M303" s="226">
        <v>210871</v>
      </c>
      <c r="N303" s="227">
        <v>193057.7</v>
      </c>
    </row>
    <row r="304" spans="1:14">
      <c r="A304" s="225" t="s">
        <v>583</v>
      </c>
      <c r="B304" s="225" t="s">
        <v>584</v>
      </c>
      <c r="C304" s="225">
        <v>100</v>
      </c>
      <c r="D304" s="225" t="s">
        <v>585</v>
      </c>
      <c r="E304" s="225">
        <v>95</v>
      </c>
      <c r="F304" s="225" t="s">
        <v>524</v>
      </c>
      <c r="G304" s="225">
        <v>3</v>
      </c>
      <c r="H304" s="225" t="s">
        <v>383</v>
      </c>
      <c r="I304" s="225" t="s">
        <v>586</v>
      </c>
      <c r="J304" s="228">
        <v>204</v>
      </c>
      <c r="K304" s="226">
        <v>192631</v>
      </c>
      <c r="L304" s="226">
        <v>210578</v>
      </c>
      <c r="M304" s="226">
        <v>249408</v>
      </c>
      <c r="N304" s="227">
        <v>227212.3</v>
      </c>
    </row>
    <row r="305" spans="1:14">
      <c r="A305" s="225" t="s">
        <v>583</v>
      </c>
      <c r="B305" s="225" t="s">
        <v>584</v>
      </c>
      <c r="C305" s="225">
        <v>100</v>
      </c>
      <c r="D305" s="225" t="s">
        <v>585</v>
      </c>
      <c r="E305" s="225">
        <v>95</v>
      </c>
      <c r="F305" s="225" t="s">
        <v>524</v>
      </c>
      <c r="G305" s="225">
        <v>2</v>
      </c>
      <c r="H305" s="225" t="s">
        <v>352</v>
      </c>
      <c r="I305" s="225" t="s">
        <v>586</v>
      </c>
      <c r="J305" s="228">
        <v>68</v>
      </c>
      <c r="K305" s="226">
        <v>217383</v>
      </c>
      <c r="L305" s="226">
        <v>253699</v>
      </c>
      <c r="M305" s="226">
        <v>288551</v>
      </c>
      <c r="N305" s="227">
        <v>274708.3</v>
      </c>
    </row>
    <row r="306" spans="1:14">
      <c r="A306" s="225" t="s">
        <v>583</v>
      </c>
      <c r="B306" s="225" t="s">
        <v>584</v>
      </c>
      <c r="C306" s="225">
        <v>100</v>
      </c>
      <c r="D306" s="225" t="s">
        <v>585</v>
      </c>
      <c r="E306" s="225">
        <v>95</v>
      </c>
      <c r="F306" s="225" t="s">
        <v>524</v>
      </c>
      <c r="G306" s="225">
        <v>6</v>
      </c>
      <c r="H306" s="225" t="s">
        <v>385</v>
      </c>
      <c r="I306" s="225" t="s">
        <v>586</v>
      </c>
      <c r="J306" s="228">
        <v>32</v>
      </c>
      <c r="K306" s="226">
        <v>233725</v>
      </c>
      <c r="L306" s="226">
        <v>260346</v>
      </c>
      <c r="M306" s="226">
        <v>295782</v>
      </c>
      <c r="N306" s="227">
        <v>271435.90000000002</v>
      </c>
    </row>
    <row r="307" spans="1:14">
      <c r="A307" s="225" t="s">
        <v>583</v>
      </c>
      <c r="B307" s="225" t="s">
        <v>584</v>
      </c>
      <c r="C307" s="225">
        <v>100</v>
      </c>
      <c r="D307" s="225" t="s">
        <v>585</v>
      </c>
      <c r="E307" s="225">
        <v>95</v>
      </c>
      <c r="F307" s="225" t="s">
        <v>524</v>
      </c>
      <c r="G307" s="225">
        <v>1</v>
      </c>
      <c r="H307" s="225" t="s">
        <v>384</v>
      </c>
      <c r="I307" s="225" t="s">
        <v>586</v>
      </c>
      <c r="J307" s="228">
        <v>6</v>
      </c>
      <c r="K307" s="226">
        <v>300000</v>
      </c>
      <c r="L307" s="226">
        <v>388033</v>
      </c>
      <c r="M307" s="226">
        <v>545910</v>
      </c>
      <c r="N307" s="227">
        <v>414746.8</v>
      </c>
    </row>
    <row r="308" spans="1:14">
      <c r="A308" s="225" t="s">
        <v>583</v>
      </c>
      <c r="B308" s="225" t="s">
        <v>584</v>
      </c>
      <c r="C308" s="225">
        <v>100</v>
      </c>
      <c r="D308" s="225" t="s">
        <v>585</v>
      </c>
      <c r="E308" s="225">
        <v>39</v>
      </c>
      <c r="F308" s="225" t="s">
        <v>526</v>
      </c>
      <c r="G308" s="225">
        <v>5</v>
      </c>
      <c r="H308" s="225" t="s">
        <v>349</v>
      </c>
      <c r="I308" s="225" t="s">
        <v>586</v>
      </c>
      <c r="J308" s="228">
        <v>10</v>
      </c>
      <c r="K308" s="226">
        <v>107636</v>
      </c>
      <c r="L308" s="226">
        <v>115258</v>
      </c>
      <c r="M308" s="226">
        <v>150249</v>
      </c>
      <c r="N308" s="227">
        <v>132145.70000000001</v>
      </c>
    </row>
    <row r="309" spans="1:14">
      <c r="A309" s="225" t="s">
        <v>583</v>
      </c>
      <c r="B309" s="225" t="s">
        <v>584</v>
      </c>
      <c r="C309" s="225">
        <v>100</v>
      </c>
      <c r="D309" s="225" t="s">
        <v>585</v>
      </c>
      <c r="E309" s="225">
        <v>39</v>
      </c>
      <c r="F309" s="225" t="s">
        <v>526</v>
      </c>
      <c r="G309" s="225">
        <v>4</v>
      </c>
      <c r="H309" s="225" t="s">
        <v>382</v>
      </c>
      <c r="I309" s="225" t="s">
        <v>586</v>
      </c>
      <c r="J309" s="228">
        <v>194</v>
      </c>
      <c r="K309" s="226">
        <v>148849</v>
      </c>
      <c r="L309" s="226">
        <v>158801</v>
      </c>
      <c r="M309" s="226">
        <v>173693</v>
      </c>
      <c r="N309" s="227">
        <v>164562.4</v>
      </c>
    </row>
    <row r="310" spans="1:14">
      <c r="A310" s="225" t="s">
        <v>583</v>
      </c>
      <c r="B310" s="225" t="s">
        <v>584</v>
      </c>
      <c r="C310" s="225">
        <v>100</v>
      </c>
      <c r="D310" s="225" t="s">
        <v>585</v>
      </c>
      <c r="E310" s="225">
        <v>39</v>
      </c>
      <c r="F310" s="225" t="s">
        <v>526</v>
      </c>
      <c r="G310" s="225">
        <v>3</v>
      </c>
      <c r="H310" s="225" t="s">
        <v>383</v>
      </c>
      <c r="I310" s="225" t="s">
        <v>586</v>
      </c>
      <c r="J310" s="228">
        <v>117</v>
      </c>
      <c r="K310" s="226">
        <v>174917</v>
      </c>
      <c r="L310" s="226">
        <v>187376</v>
      </c>
      <c r="M310" s="226">
        <v>215058</v>
      </c>
      <c r="N310" s="227">
        <v>200434.5</v>
      </c>
    </row>
    <row r="311" spans="1:14">
      <c r="A311" s="225" t="s">
        <v>583</v>
      </c>
      <c r="B311" s="225" t="s">
        <v>584</v>
      </c>
      <c r="C311" s="225">
        <v>100</v>
      </c>
      <c r="D311" s="225" t="s">
        <v>585</v>
      </c>
      <c r="E311" s="225">
        <v>39</v>
      </c>
      <c r="F311" s="225" t="s">
        <v>526</v>
      </c>
      <c r="G311" s="225">
        <v>2</v>
      </c>
      <c r="H311" s="225" t="s">
        <v>352</v>
      </c>
      <c r="I311" s="225" t="s">
        <v>586</v>
      </c>
      <c r="J311" s="228">
        <v>151</v>
      </c>
      <c r="K311" s="226">
        <v>216219</v>
      </c>
      <c r="L311" s="226">
        <v>250463</v>
      </c>
      <c r="M311" s="226">
        <v>293095</v>
      </c>
      <c r="N311" s="227">
        <v>264149.59999999998</v>
      </c>
    </row>
    <row r="312" spans="1:14">
      <c r="A312" s="225" t="s">
        <v>583</v>
      </c>
      <c r="B312" s="225" t="s">
        <v>584</v>
      </c>
      <c r="C312" s="225">
        <v>100</v>
      </c>
      <c r="D312" s="225" t="s">
        <v>585</v>
      </c>
      <c r="E312" s="225">
        <v>39</v>
      </c>
      <c r="F312" s="225" t="s">
        <v>526</v>
      </c>
      <c r="G312" s="225">
        <v>6</v>
      </c>
      <c r="H312" s="225" t="s">
        <v>385</v>
      </c>
      <c r="I312" s="225" t="s">
        <v>586</v>
      </c>
      <c r="J312" s="228">
        <v>44</v>
      </c>
      <c r="K312" s="226">
        <v>224875</v>
      </c>
      <c r="L312" s="226">
        <v>274192</v>
      </c>
      <c r="M312" s="226">
        <v>322382</v>
      </c>
      <c r="N312" s="227">
        <v>285469.09999999998</v>
      </c>
    </row>
    <row r="313" spans="1:14">
      <c r="A313" s="225" t="s">
        <v>583</v>
      </c>
      <c r="B313" s="225" t="s">
        <v>584</v>
      </c>
      <c r="C313" s="225">
        <v>100</v>
      </c>
      <c r="D313" s="225" t="s">
        <v>585</v>
      </c>
      <c r="E313" s="225">
        <v>39</v>
      </c>
      <c r="F313" s="225" t="s">
        <v>526</v>
      </c>
      <c r="G313" s="225">
        <v>1</v>
      </c>
      <c r="H313" s="225" t="s">
        <v>384</v>
      </c>
      <c r="I313" s="225" t="s">
        <v>586</v>
      </c>
      <c r="J313" s="228">
        <v>9</v>
      </c>
      <c r="K313" s="226">
        <v>469500</v>
      </c>
      <c r="L313" s="226">
        <v>517000</v>
      </c>
      <c r="M313" s="226">
        <v>711073</v>
      </c>
      <c r="N313" s="227">
        <v>558112.19999999995</v>
      </c>
    </row>
    <row r="314" spans="1:14">
      <c r="A314" s="225" t="s">
        <v>583</v>
      </c>
      <c r="B314" s="225" t="s">
        <v>584</v>
      </c>
      <c r="C314" s="225">
        <v>100</v>
      </c>
      <c r="D314" s="225" t="s">
        <v>585</v>
      </c>
      <c r="E314" s="225">
        <v>32</v>
      </c>
      <c r="F314" s="225" t="s">
        <v>527</v>
      </c>
      <c r="G314" s="225">
        <v>5</v>
      </c>
      <c r="H314" s="225" t="s">
        <v>349</v>
      </c>
      <c r="I314" s="225" t="s">
        <v>586</v>
      </c>
      <c r="J314" s="228">
        <v>57</v>
      </c>
      <c r="K314" s="226">
        <v>189578</v>
      </c>
      <c r="L314" s="226">
        <v>228220</v>
      </c>
      <c r="M314" s="226">
        <v>290918</v>
      </c>
      <c r="N314" s="227">
        <v>242738.5</v>
      </c>
    </row>
    <row r="315" spans="1:14">
      <c r="A315" s="225" t="s">
        <v>583</v>
      </c>
      <c r="B315" s="225" t="s">
        <v>584</v>
      </c>
      <c r="C315" s="225">
        <v>100</v>
      </c>
      <c r="D315" s="225" t="s">
        <v>585</v>
      </c>
      <c r="E315" s="225">
        <v>32</v>
      </c>
      <c r="F315" s="225" t="s">
        <v>527</v>
      </c>
      <c r="G315" s="225">
        <v>4</v>
      </c>
      <c r="H315" s="225" t="s">
        <v>382</v>
      </c>
      <c r="I315" s="225" t="s">
        <v>586</v>
      </c>
      <c r="J315" s="228">
        <v>764</v>
      </c>
      <c r="K315" s="226">
        <v>226510</v>
      </c>
      <c r="L315" s="226">
        <v>259656</v>
      </c>
      <c r="M315" s="226">
        <v>307124</v>
      </c>
      <c r="N315" s="227">
        <v>270135.59999999998</v>
      </c>
    </row>
    <row r="316" spans="1:14">
      <c r="A316" s="225" t="s">
        <v>583</v>
      </c>
      <c r="B316" s="225" t="s">
        <v>584</v>
      </c>
      <c r="C316" s="225">
        <v>100</v>
      </c>
      <c r="D316" s="225" t="s">
        <v>585</v>
      </c>
      <c r="E316" s="225">
        <v>32</v>
      </c>
      <c r="F316" s="225" t="s">
        <v>527</v>
      </c>
      <c r="G316" s="225">
        <v>3</v>
      </c>
      <c r="H316" s="225" t="s">
        <v>383</v>
      </c>
      <c r="I316" s="225" t="s">
        <v>586</v>
      </c>
      <c r="J316" s="228">
        <v>358</v>
      </c>
      <c r="K316" s="226">
        <v>267547</v>
      </c>
      <c r="L316" s="226">
        <v>302244</v>
      </c>
      <c r="M316" s="226">
        <v>352094</v>
      </c>
      <c r="N316" s="227">
        <v>320571.7</v>
      </c>
    </row>
    <row r="317" spans="1:14">
      <c r="A317" s="225" t="s">
        <v>583</v>
      </c>
      <c r="B317" s="225" t="s">
        <v>584</v>
      </c>
      <c r="C317" s="225">
        <v>100</v>
      </c>
      <c r="D317" s="225" t="s">
        <v>585</v>
      </c>
      <c r="E317" s="225">
        <v>32</v>
      </c>
      <c r="F317" s="225" t="s">
        <v>527</v>
      </c>
      <c r="G317" s="225">
        <v>2</v>
      </c>
      <c r="H317" s="225" t="s">
        <v>352</v>
      </c>
      <c r="I317" s="225" t="s">
        <v>586</v>
      </c>
      <c r="J317" s="228">
        <v>258</v>
      </c>
      <c r="K317" s="226">
        <v>301367</v>
      </c>
      <c r="L317" s="226">
        <v>344474</v>
      </c>
      <c r="M317" s="226">
        <v>393420</v>
      </c>
      <c r="N317" s="227">
        <v>355306.8</v>
      </c>
    </row>
    <row r="318" spans="1:14">
      <c r="A318" s="225" t="s">
        <v>583</v>
      </c>
      <c r="B318" s="225" t="s">
        <v>584</v>
      </c>
      <c r="C318" s="225">
        <v>100</v>
      </c>
      <c r="D318" s="225" t="s">
        <v>585</v>
      </c>
      <c r="E318" s="225">
        <v>32</v>
      </c>
      <c r="F318" s="225" t="s">
        <v>527</v>
      </c>
      <c r="G318" s="225">
        <v>6</v>
      </c>
      <c r="H318" s="225" t="s">
        <v>385</v>
      </c>
      <c r="I318" s="225" t="s">
        <v>586</v>
      </c>
      <c r="J318" s="228">
        <v>50</v>
      </c>
      <c r="K318" s="226">
        <v>350000</v>
      </c>
      <c r="L318" s="226">
        <v>387976</v>
      </c>
      <c r="M318" s="226">
        <v>451625</v>
      </c>
      <c r="N318" s="227">
        <v>417131.3</v>
      </c>
    </row>
    <row r="319" spans="1:14">
      <c r="A319" s="225" t="s">
        <v>583</v>
      </c>
      <c r="B319" s="225" t="s">
        <v>584</v>
      </c>
      <c r="C319" s="225">
        <v>100</v>
      </c>
      <c r="D319" s="225" t="s">
        <v>585</v>
      </c>
      <c r="E319" s="225">
        <v>32</v>
      </c>
      <c r="F319" s="225" t="s">
        <v>527</v>
      </c>
      <c r="G319" s="225">
        <v>1</v>
      </c>
      <c r="H319" s="225" t="s">
        <v>384</v>
      </c>
      <c r="I319" s="225" t="s">
        <v>586</v>
      </c>
      <c r="J319" s="228">
        <v>10</v>
      </c>
      <c r="K319" s="226">
        <v>410748</v>
      </c>
      <c r="L319" s="226">
        <v>526376</v>
      </c>
      <c r="M319" s="226">
        <v>600000</v>
      </c>
      <c r="N319" s="227">
        <v>524767</v>
      </c>
    </row>
    <row r="320" spans="1:14">
      <c r="A320" s="225" t="s">
        <v>583</v>
      </c>
      <c r="B320" s="225" t="s">
        <v>584</v>
      </c>
      <c r="C320" s="225">
        <v>100</v>
      </c>
      <c r="D320" s="225" t="s">
        <v>585</v>
      </c>
      <c r="E320" s="225">
        <v>76</v>
      </c>
      <c r="F320" s="225" t="s">
        <v>529</v>
      </c>
      <c r="G320" s="225">
        <v>5</v>
      </c>
      <c r="H320" s="225" t="s">
        <v>349</v>
      </c>
      <c r="I320" s="225" t="s">
        <v>586</v>
      </c>
      <c r="J320" s="228">
        <v>7</v>
      </c>
      <c r="K320" s="226">
        <v>132000</v>
      </c>
      <c r="L320" s="226">
        <v>149750</v>
      </c>
      <c r="M320" s="226">
        <v>159000</v>
      </c>
      <c r="N320" s="227">
        <v>142975.9</v>
      </c>
    </row>
    <row r="321" spans="1:14">
      <c r="A321" s="225" t="s">
        <v>583</v>
      </c>
      <c r="B321" s="225" t="s">
        <v>584</v>
      </c>
      <c r="C321" s="225">
        <v>100</v>
      </c>
      <c r="D321" s="225" t="s">
        <v>585</v>
      </c>
      <c r="E321" s="225">
        <v>76</v>
      </c>
      <c r="F321" s="225" t="s">
        <v>529</v>
      </c>
      <c r="G321" s="225">
        <v>4</v>
      </c>
      <c r="H321" s="225" t="s">
        <v>382</v>
      </c>
      <c r="I321" s="225" t="s">
        <v>586</v>
      </c>
      <c r="J321" s="228">
        <v>133</v>
      </c>
      <c r="K321" s="226">
        <v>165548</v>
      </c>
      <c r="L321" s="226">
        <v>174658</v>
      </c>
      <c r="M321" s="226">
        <v>187600</v>
      </c>
      <c r="N321" s="227">
        <v>178311</v>
      </c>
    </row>
    <row r="322" spans="1:14">
      <c r="A322" s="225" t="s">
        <v>583</v>
      </c>
      <c r="B322" s="225" t="s">
        <v>584</v>
      </c>
      <c r="C322" s="225">
        <v>100</v>
      </c>
      <c r="D322" s="225" t="s">
        <v>585</v>
      </c>
      <c r="E322" s="225">
        <v>76</v>
      </c>
      <c r="F322" s="225" t="s">
        <v>529</v>
      </c>
      <c r="G322" s="225">
        <v>3</v>
      </c>
      <c r="H322" s="225" t="s">
        <v>383</v>
      </c>
      <c r="I322" s="225" t="s">
        <v>586</v>
      </c>
      <c r="J322" s="228">
        <v>90</v>
      </c>
      <c r="K322" s="226">
        <v>195168</v>
      </c>
      <c r="L322" s="226">
        <v>211717</v>
      </c>
      <c r="M322" s="226">
        <v>227588</v>
      </c>
      <c r="N322" s="227">
        <v>213325.6</v>
      </c>
    </row>
    <row r="323" spans="1:14">
      <c r="A323" s="225" t="s">
        <v>583</v>
      </c>
      <c r="B323" s="225" t="s">
        <v>584</v>
      </c>
      <c r="C323" s="225">
        <v>100</v>
      </c>
      <c r="D323" s="225" t="s">
        <v>585</v>
      </c>
      <c r="E323" s="225">
        <v>76</v>
      </c>
      <c r="F323" s="225" t="s">
        <v>529</v>
      </c>
      <c r="G323" s="225">
        <v>2</v>
      </c>
      <c r="H323" s="225" t="s">
        <v>352</v>
      </c>
      <c r="I323" s="225" t="s">
        <v>586</v>
      </c>
      <c r="J323" s="228">
        <v>74</v>
      </c>
      <c r="K323" s="226">
        <v>234665</v>
      </c>
      <c r="L323" s="226">
        <v>258732</v>
      </c>
      <c r="M323" s="226">
        <v>310580</v>
      </c>
      <c r="N323" s="227">
        <v>278646.7</v>
      </c>
    </row>
    <row r="324" spans="1:14">
      <c r="A324" s="225" t="s">
        <v>583</v>
      </c>
      <c r="B324" s="225" t="s">
        <v>584</v>
      </c>
      <c r="C324" s="225">
        <v>100</v>
      </c>
      <c r="D324" s="225" t="s">
        <v>585</v>
      </c>
      <c r="E324" s="225">
        <v>76</v>
      </c>
      <c r="F324" s="225" t="s">
        <v>529</v>
      </c>
      <c r="G324" s="225">
        <v>6</v>
      </c>
      <c r="H324" s="225" t="s">
        <v>385</v>
      </c>
      <c r="I324" s="225" t="s">
        <v>586</v>
      </c>
      <c r="J324" s="228">
        <v>39</v>
      </c>
      <c r="K324" s="226">
        <v>239587</v>
      </c>
      <c r="L324" s="226">
        <v>294600</v>
      </c>
      <c r="M324" s="226">
        <v>326314</v>
      </c>
      <c r="N324" s="227">
        <v>289880.5</v>
      </c>
    </row>
    <row r="325" spans="1:14">
      <c r="A325" s="225" t="s">
        <v>583</v>
      </c>
      <c r="B325" s="225" t="s">
        <v>584</v>
      </c>
      <c r="C325" s="225">
        <v>100</v>
      </c>
      <c r="D325" s="225" t="s">
        <v>585</v>
      </c>
      <c r="E325" s="225">
        <v>76</v>
      </c>
      <c r="F325" s="225" t="s">
        <v>529</v>
      </c>
      <c r="G325" s="225">
        <v>1</v>
      </c>
      <c r="H325" s="225" t="s">
        <v>384</v>
      </c>
      <c r="I325" s="225" t="s">
        <v>586</v>
      </c>
      <c r="J325" s="228">
        <v>3</v>
      </c>
      <c r="K325" s="228"/>
      <c r="L325" s="228"/>
      <c r="M325" s="228"/>
      <c r="N325" s="228"/>
    </row>
    <row r="326" spans="1:14">
      <c r="A326" s="225" t="s">
        <v>583</v>
      </c>
      <c r="B326" s="225" t="s">
        <v>584</v>
      </c>
      <c r="C326" s="225">
        <v>100</v>
      </c>
      <c r="D326" s="225" t="s">
        <v>585</v>
      </c>
      <c r="E326" s="225">
        <v>77</v>
      </c>
      <c r="F326" s="225" t="s">
        <v>530</v>
      </c>
      <c r="G326" s="225">
        <v>5</v>
      </c>
      <c r="H326" s="225" t="s">
        <v>349</v>
      </c>
      <c r="I326" s="225" t="s">
        <v>586</v>
      </c>
      <c r="J326" s="228">
        <v>16</v>
      </c>
      <c r="K326" s="226">
        <v>122325</v>
      </c>
      <c r="L326" s="226">
        <v>172480</v>
      </c>
      <c r="M326" s="226">
        <v>202764</v>
      </c>
      <c r="N326" s="227">
        <v>163999.4</v>
      </c>
    </row>
    <row r="327" spans="1:14">
      <c r="A327" s="225" t="s">
        <v>583</v>
      </c>
      <c r="B327" s="225" t="s">
        <v>584</v>
      </c>
      <c r="C327" s="225">
        <v>100</v>
      </c>
      <c r="D327" s="225" t="s">
        <v>585</v>
      </c>
      <c r="E327" s="225">
        <v>77</v>
      </c>
      <c r="F327" s="225" t="s">
        <v>530</v>
      </c>
      <c r="G327" s="225">
        <v>4</v>
      </c>
      <c r="H327" s="225" t="s">
        <v>382</v>
      </c>
      <c r="I327" s="225" t="s">
        <v>586</v>
      </c>
      <c r="J327" s="228">
        <v>343</v>
      </c>
      <c r="K327" s="226">
        <v>192236</v>
      </c>
      <c r="L327" s="226">
        <v>209842</v>
      </c>
      <c r="M327" s="226">
        <v>226822</v>
      </c>
      <c r="N327" s="227">
        <v>211332.5</v>
      </c>
    </row>
    <row r="328" spans="1:14">
      <c r="A328" s="225" t="s">
        <v>583</v>
      </c>
      <c r="B328" s="225" t="s">
        <v>584</v>
      </c>
      <c r="C328" s="225">
        <v>100</v>
      </c>
      <c r="D328" s="225" t="s">
        <v>585</v>
      </c>
      <c r="E328" s="225">
        <v>77</v>
      </c>
      <c r="F328" s="225" t="s">
        <v>530</v>
      </c>
      <c r="G328" s="225">
        <v>3</v>
      </c>
      <c r="H328" s="225" t="s">
        <v>383</v>
      </c>
      <c r="I328" s="225" t="s">
        <v>586</v>
      </c>
      <c r="J328" s="228">
        <v>146</v>
      </c>
      <c r="K328" s="226">
        <v>221916</v>
      </c>
      <c r="L328" s="226">
        <v>240208</v>
      </c>
      <c r="M328" s="226">
        <v>268394</v>
      </c>
      <c r="N328" s="227">
        <v>247441</v>
      </c>
    </row>
    <row r="329" spans="1:14">
      <c r="A329" s="225" t="s">
        <v>583</v>
      </c>
      <c r="B329" s="225" t="s">
        <v>584</v>
      </c>
      <c r="C329" s="225">
        <v>100</v>
      </c>
      <c r="D329" s="225" t="s">
        <v>585</v>
      </c>
      <c r="E329" s="225">
        <v>77</v>
      </c>
      <c r="F329" s="225" t="s">
        <v>530</v>
      </c>
      <c r="G329" s="225">
        <v>2</v>
      </c>
      <c r="H329" s="225" t="s">
        <v>352</v>
      </c>
      <c r="I329" s="225" t="s">
        <v>586</v>
      </c>
      <c r="J329" s="228">
        <v>107</v>
      </c>
      <c r="K329" s="226">
        <v>249090</v>
      </c>
      <c r="L329" s="226">
        <v>274719</v>
      </c>
      <c r="M329" s="226">
        <v>303239</v>
      </c>
      <c r="N329" s="227">
        <v>287566.5</v>
      </c>
    </row>
    <row r="330" spans="1:14">
      <c r="A330" s="225" t="s">
        <v>583</v>
      </c>
      <c r="B330" s="225" t="s">
        <v>584</v>
      </c>
      <c r="C330" s="225">
        <v>100</v>
      </c>
      <c r="D330" s="225" t="s">
        <v>585</v>
      </c>
      <c r="E330" s="225">
        <v>77</v>
      </c>
      <c r="F330" s="225" t="s">
        <v>530</v>
      </c>
      <c r="G330" s="225">
        <v>6</v>
      </c>
      <c r="H330" s="225" t="s">
        <v>385</v>
      </c>
      <c r="I330" s="225" t="s">
        <v>586</v>
      </c>
      <c r="J330" s="228">
        <v>28</v>
      </c>
      <c r="K330" s="226">
        <v>279281</v>
      </c>
      <c r="L330" s="226">
        <v>326640</v>
      </c>
      <c r="M330" s="226">
        <v>394854</v>
      </c>
      <c r="N330" s="227">
        <v>331338</v>
      </c>
    </row>
    <row r="331" spans="1:14">
      <c r="A331" s="225" t="s">
        <v>583</v>
      </c>
      <c r="B331" s="225" t="s">
        <v>584</v>
      </c>
      <c r="C331" s="225">
        <v>100</v>
      </c>
      <c r="D331" s="225" t="s">
        <v>585</v>
      </c>
      <c r="E331" s="225">
        <v>77</v>
      </c>
      <c r="F331" s="225" t="s">
        <v>530</v>
      </c>
      <c r="G331" s="225">
        <v>1</v>
      </c>
      <c r="H331" s="225" t="s">
        <v>384</v>
      </c>
      <c r="I331" s="225" t="s">
        <v>586</v>
      </c>
      <c r="J331" s="228">
        <v>1</v>
      </c>
      <c r="K331" s="228"/>
      <c r="L331" s="228"/>
      <c r="M331" s="228"/>
      <c r="N331" s="228"/>
    </row>
    <row r="332" spans="1:14">
      <c r="A332" s="225" t="s">
        <v>583</v>
      </c>
      <c r="B332" s="225" t="s">
        <v>584</v>
      </c>
      <c r="C332" s="225">
        <v>100</v>
      </c>
      <c r="D332" s="225" t="s">
        <v>585</v>
      </c>
      <c r="E332" s="225">
        <v>33</v>
      </c>
      <c r="F332" s="225" t="s">
        <v>543</v>
      </c>
      <c r="G332" s="225">
        <v>5</v>
      </c>
      <c r="H332" s="225" t="s">
        <v>349</v>
      </c>
      <c r="I332" s="225" t="s">
        <v>586</v>
      </c>
      <c r="J332" s="228">
        <v>25</v>
      </c>
      <c r="K332" s="226">
        <v>83960</v>
      </c>
      <c r="L332" s="226">
        <v>181669</v>
      </c>
      <c r="M332" s="226">
        <v>273009</v>
      </c>
      <c r="N332" s="227">
        <v>193369.2</v>
      </c>
    </row>
    <row r="333" spans="1:14">
      <c r="A333" s="225" t="s">
        <v>583</v>
      </c>
      <c r="B333" s="225" t="s">
        <v>584</v>
      </c>
      <c r="C333" s="225">
        <v>100</v>
      </c>
      <c r="D333" s="225" t="s">
        <v>585</v>
      </c>
      <c r="E333" s="225">
        <v>33</v>
      </c>
      <c r="F333" s="225" t="s">
        <v>543</v>
      </c>
      <c r="G333" s="225">
        <v>4</v>
      </c>
      <c r="H333" s="225" t="s">
        <v>382</v>
      </c>
      <c r="I333" s="225" t="s">
        <v>586</v>
      </c>
      <c r="J333" s="228">
        <v>472</v>
      </c>
      <c r="K333" s="226">
        <v>223934</v>
      </c>
      <c r="L333" s="226">
        <v>248023</v>
      </c>
      <c r="M333" s="226">
        <v>283516</v>
      </c>
      <c r="N333" s="227">
        <v>256462.9</v>
      </c>
    </row>
    <row r="334" spans="1:14">
      <c r="A334" s="225" t="s">
        <v>583</v>
      </c>
      <c r="B334" s="225" t="s">
        <v>584</v>
      </c>
      <c r="C334" s="225">
        <v>100</v>
      </c>
      <c r="D334" s="225" t="s">
        <v>585</v>
      </c>
      <c r="E334" s="225">
        <v>33</v>
      </c>
      <c r="F334" s="225" t="s">
        <v>543</v>
      </c>
      <c r="G334" s="225">
        <v>3</v>
      </c>
      <c r="H334" s="225" t="s">
        <v>383</v>
      </c>
      <c r="I334" s="225" t="s">
        <v>586</v>
      </c>
      <c r="J334" s="228">
        <v>326</v>
      </c>
      <c r="K334" s="226">
        <v>273808</v>
      </c>
      <c r="L334" s="226">
        <v>295771</v>
      </c>
      <c r="M334" s="226">
        <v>341971</v>
      </c>
      <c r="N334" s="227">
        <v>322178.2</v>
      </c>
    </row>
    <row r="335" spans="1:14">
      <c r="A335" s="225" t="s">
        <v>583</v>
      </c>
      <c r="B335" s="225" t="s">
        <v>584</v>
      </c>
      <c r="C335" s="225">
        <v>100</v>
      </c>
      <c r="D335" s="225" t="s">
        <v>585</v>
      </c>
      <c r="E335" s="225">
        <v>33</v>
      </c>
      <c r="F335" s="225" t="s">
        <v>543</v>
      </c>
      <c r="G335" s="225">
        <v>2</v>
      </c>
      <c r="H335" s="225" t="s">
        <v>352</v>
      </c>
      <c r="I335" s="225" t="s">
        <v>586</v>
      </c>
      <c r="J335" s="228">
        <v>234</v>
      </c>
      <c r="K335" s="226">
        <v>340177</v>
      </c>
      <c r="L335" s="226">
        <v>382415</v>
      </c>
      <c r="M335" s="226">
        <v>436732</v>
      </c>
      <c r="N335" s="227">
        <v>416007.1</v>
      </c>
    </row>
    <row r="336" spans="1:14">
      <c r="A336" s="225" t="s">
        <v>583</v>
      </c>
      <c r="B336" s="225" t="s">
        <v>584</v>
      </c>
      <c r="C336" s="225">
        <v>100</v>
      </c>
      <c r="D336" s="225" t="s">
        <v>585</v>
      </c>
      <c r="E336" s="225">
        <v>33</v>
      </c>
      <c r="F336" s="225" t="s">
        <v>543</v>
      </c>
      <c r="G336" s="225">
        <v>6</v>
      </c>
      <c r="H336" s="225" t="s">
        <v>385</v>
      </c>
      <c r="I336" s="225" t="s">
        <v>586</v>
      </c>
      <c r="J336" s="228">
        <v>40</v>
      </c>
      <c r="K336" s="226">
        <v>355033</v>
      </c>
      <c r="L336" s="226">
        <v>415742</v>
      </c>
      <c r="M336" s="226">
        <v>474363</v>
      </c>
      <c r="N336" s="227">
        <v>430534</v>
      </c>
    </row>
    <row r="337" spans="1:14">
      <c r="A337" s="225" t="s">
        <v>583</v>
      </c>
      <c r="B337" s="225" t="s">
        <v>584</v>
      </c>
      <c r="C337" s="225">
        <v>100</v>
      </c>
      <c r="D337" s="225" t="s">
        <v>585</v>
      </c>
      <c r="E337" s="225">
        <v>33</v>
      </c>
      <c r="F337" s="225" t="s">
        <v>543</v>
      </c>
      <c r="G337" s="225">
        <v>1</v>
      </c>
      <c r="H337" s="225" t="s">
        <v>384</v>
      </c>
      <c r="I337" s="225" t="s">
        <v>586</v>
      </c>
      <c r="J337" s="228">
        <v>2</v>
      </c>
      <c r="K337" s="228"/>
      <c r="L337" s="228"/>
      <c r="M337" s="228"/>
      <c r="N337" s="228"/>
    </row>
    <row r="338" spans="1:14">
      <c r="A338" s="225" t="s">
        <v>583</v>
      </c>
      <c r="B338" s="225" t="s">
        <v>584</v>
      </c>
      <c r="C338" s="225">
        <v>100</v>
      </c>
      <c r="D338" s="225" t="s">
        <v>585</v>
      </c>
      <c r="E338" s="225">
        <v>105</v>
      </c>
      <c r="F338" s="225" t="s">
        <v>551</v>
      </c>
      <c r="G338" s="225">
        <v>5</v>
      </c>
      <c r="H338" s="225" t="s">
        <v>349</v>
      </c>
      <c r="I338" s="225" t="s">
        <v>586</v>
      </c>
      <c r="J338" s="228">
        <v>0</v>
      </c>
      <c r="K338" s="228"/>
      <c r="L338" s="228"/>
      <c r="M338" s="228"/>
      <c r="N338" s="228"/>
    </row>
    <row r="339" spans="1:14">
      <c r="A339" s="225" t="s">
        <v>583</v>
      </c>
      <c r="B339" s="225" t="s">
        <v>584</v>
      </c>
      <c r="C339" s="225">
        <v>100</v>
      </c>
      <c r="D339" s="225" t="s">
        <v>585</v>
      </c>
      <c r="E339" s="225">
        <v>105</v>
      </c>
      <c r="F339" s="225" t="s">
        <v>551</v>
      </c>
      <c r="G339" s="225">
        <v>4</v>
      </c>
      <c r="H339" s="225" t="s">
        <v>382</v>
      </c>
      <c r="I339" s="225" t="s">
        <v>586</v>
      </c>
      <c r="J339" s="228">
        <v>9</v>
      </c>
      <c r="K339" s="226">
        <v>137599</v>
      </c>
      <c r="L339" s="226">
        <v>160080</v>
      </c>
      <c r="M339" s="226">
        <v>164327</v>
      </c>
      <c r="N339" s="227">
        <v>153730.29999999999</v>
      </c>
    </row>
    <row r="340" spans="1:14">
      <c r="A340" s="225" t="s">
        <v>583</v>
      </c>
      <c r="B340" s="225" t="s">
        <v>584</v>
      </c>
      <c r="C340" s="225">
        <v>100</v>
      </c>
      <c r="D340" s="225" t="s">
        <v>585</v>
      </c>
      <c r="E340" s="225">
        <v>105</v>
      </c>
      <c r="F340" s="225" t="s">
        <v>551</v>
      </c>
      <c r="G340" s="225">
        <v>3</v>
      </c>
      <c r="H340" s="225" t="s">
        <v>383</v>
      </c>
      <c r="I340" s="225" t="s">
        <v>586</v>
      </c>
      <c r="J340" s="228">
        <v>5</v>
      </c>
      <c r="K340" s="226">
        <v>149777</v>
      </c>
      <c r="L340" s="226">
        <v>187000</v>
      </c>
      <c r="M340" s="226">
        <v>198786</v>
      </c>
      <c r="N340" s="227">
        <v>176825</v>
      </c>
    </row>
    <row r="341" spans="1:14">
      <c r="A341" s="225" t="s">
        <v>583</v>
      </c>
      <c r="B341" s="225" t="s">
        <v>584</v>
      </c>
      <c r="C341" s="225">
        <v>100</v>
      </c>
      <c r="D341" s="225" t="s">
        <v>585</v>
      </c>
      <c r="E341" s="225">
        <v>105</v>
      </c>
      <c r="F341" s="225" t="s">
        <v>551</v>
      </c>
      <c r="G341" s="225">
        <v>2</v>
      </c>
      <c r="H341" s="225" t="s">
        <v>352</v>
      </c>
      <c r="I341" s="225" t="s">
        <v>586</v>
      </c>
      <c r="J341" s="228">
        <v>0</v>
      </c>
      <c r="K341" s="228"/>
      <c r="L341" s="228"/>
      <c r="M341" s="228"/>
      <c r="N341" s="228"/>
    </row>
    <row r="342" spans="1:14">
      <c r="A342" s="225" t="s">
        <v>583</v>
      </c>
      <c r="B342" s="225" t="s">
        <v>584</v>
      </c>
      <c r="C342" s="225">
        <v>100</v>
      </c>
      <c r="D342" s="225" t="s">
        <v>585</v>
      </c>
      <c r="E342" s="225">
        <v>105</v>
      </c>
      <c r="F342" s="225" t="s">
        <v>551</v>
      </c>
      <c r="G342" s="225">
        <v>6</v>
      </c>
      <c r="H342" s="225" t="s">
        <v>385</v>
      </c>
      <c r="I342" s="225" t="s">
        <v>586</v>
      </c>
      <c r="J342" s="228">
        <v>1</v>
      </c>
      <c r="K342" s="228"/>
      <c r="L342" s="228"/>
      <c r="M342" s="228"/>
      <c r="N342" s="228"/>
    </row>
    <row r="343" spans="1:14">
      <c r="A343" s="225" t="s">
        <v>583</v>
      </c>
      <c r="B343" s="225" t="s">
        <v>584</v>
      </c>
      <c r="C343" s="225">
        <v>100</v>
      </c>
      <c r="D343" s="225" t="s">
        <v>585</v>
      </c>
      <c r="E343" s="225">
        <v>105</v>
      </c>
      <c r="F343" s="225" t="s">
        <v>551</v>
      </c>
      <c r="G343" s="225">
        <v>1</v>
      </c>
      <c r="H343" s="225" t="s">
        <v>384</v>
      </c>
      <c r="I343" s="225" t="s">
        <v>586</v>
      </c>
      <c r="J343" s="228">
        <v>0</v>
      </c>
      <c r="K343" s="228"/>
      <c r="L343" s="228"/>
      <c r="M343" s="228"/>
      <c r="N343" s="228"/>
    </row>
    <row r="344" spans="1:14">
      <c r="A344" s="225" t="s">
        <v>583</v>
      </c>
      <c r="B344" s="225" t="s">
        <v>584</v>
      </c>
      <c r="C344" s="225">
        <v>100</v>
      </c>
      <c r="D344" s="225" t="s">
        <v>585</v>
      </c>
      <c r="E344" s="225">
        <v>40</v>
      </c>
      <c r="F344" s="225" t="s">
        <v>553</v>
      </c>
      <c r="G344" s="225">
        <v>5</v>
      </c>
      <c r="H344" s="225" t="s">
        <v>349</v>
      </c>
      <c r="I344" s="225" t="s">
        <v>586</v>
      </c>
      <c r="J344" s="228">
        <v>8</v>
      </c>
      <c r="K344" s="226">
        <v>155603</v>
      </c>
      <c r="L344" s="226">
        <v>189100</v>
      </c>
      <c r="M344" s="226">
        <v>198196</v>
      </c>
      <c r="N344" s="227">
        <v>178193.4</v>
      </c>
    </row>
    <row r="345" spans="1:14">
      <c r="A345" s="225" t="s">
        <v>583</v>
      </c>
      <c r="B345" s="225" t="s">
        <v>584</v>
      </c>
      <c r="C345" s="225">
        <v>100</v>
      </c>
      <c r="D345" s="225" t="s">
        <v>585</v>
      </c>
      <c r="E345" s="225">
        <v>40</v>
      </c>
      <c r="F345" s="225" t="s">
        <v>553</v>
      </c>
      <c r="G345" s="225">
        <v>4</v>
      </c>
      <c r="H345" s="225" t="s">
        <v>382</v>
      </c>
      <c r="I345" s="225" t="s">
        <v>586</v>
      </c>
      <c r="J345" s="228">
        <v>224</v>
      </c>
      <c r="K345" s="226">
        <v>175000</v>
      </c>
      <c r="L345" s="226">
        <v>189594</v>
      </c>
      <c r="M345" s="226">
        <v>214138</v>
      </c>
      <c r="N345" s="227">
        <v>198272.1</v>
      </c>
    </row>
    <row r="346" spans="1:14">
      <c r="A346" s="225" t="s">
        <v>583</v>
      </c>
      <c r="B346" s="225" t="s">
        <v>584</v>
      </c>
      <c r="C346" s="225">
        <v>100</v>
      </c>
      <c r="D346" s="225" t="s">
        <v>585</v>
      </c>
      <c r="E346" s="225">
        <v>40</v>
      </c>
      <c r="F346" s="225" t="s">
        <v>553</v>
      </c>
      <c r="G346" s="225">
        <v>3</v>
      </c>
      <c r="H346" s="225" t="s">
        <v>383</v>
      </c>
      <c r="I346" s="225" t="s">
        <v>586</v>
      </c>
      <c r="J346" s="228">
        <v>136</v>
      </c>
      <c r="K346" s="226">
        <v>204668</v>
      </c>
      <c r="L346" s="226">
        <v>226165</v>
      </c>
      <c r="M346" s="226">
        <v>254369</v>
      </c>
      <c r="N346" s="227">
        <v>241334.5</v>
      </c>
    </row>
    <row r="347" spans="1:14">
      <c r="A347" s="225" t="s">
        <v>583</v>
      </c>
      <c r="B347" s="225" t="s">
        <v>584</v>
      </c>
      <c r="C347" s="225">
        <v>100</v>
      </c>
      <c r="D347" s="225" t="s">
        <v>585</v>
      </c>
      <c r="E347" s="225">
        <v>40</v>
      </c>
      <c r="F347" s="225" t="s">
        <v>553</v>
      </c>
      <c r="G347" s="225">
        <v>2</v>
      </c>
      <c r="H347" s="225" t="s">
        <v>352</v>
      </c>
      <c r="I347" s="225" t="s">
        <v>586</v>
      </c>
      <c r="J347" s="228">
        <v>95</v>
      </c>
      <c r="K347" s="226">
        <v>242686</v>
      </c>
      <c r="L347" s="226">
        <v>278917</v>
      </c>
      <c r="M347" s="226">
        <v>300372</v>
      </c>
      <c r="N347" s="227">
        <v>286244.09999999998</v>
      </c>
    </row>
    <row r="348" spans="1:14">
      <c r="A348" s="225" t="s">
        <v>583</v>
      </c>
      <c r="B348" s="225" t="s">
        <v>584</v>
      </c>
      <c r="C348" s="225">
        <v>100</v>
      </c>
      <c r="D348" s="225" t="s">
        <v>585</v>
      </c>
      <c r="E348" s="225">
        <v>40</v>
      </c>
      <c r="F348" s="225" t="s">
        <v>553</v>
      </c>
      <c r="G348" s="225">
        <v>6</v>
      </c>
      <c r="H348" s="225" t="s">
        <v>385</v>
      </c>
      <c r="I348" s="225" t="s">
        <v>586</v>
      </c>
      <c r="J348" s="228">
        <v>44</v>
      </c>
      <c r="K348" s="226">
        <v>247095</v>
      </c>
      <c r="L348" s="226">
        <v>284773</v>
      </c>
      <c r="M348" s="226">
        <v>359484</v>
      </c>
      <c r="N348" s="227">
        <v>297732.8</v>
      </c>
    </row>
    <row r="349" spans="1:14">
      <c r="A349" s="225" t="s">
        <v>583</v>
      </c>
      <c r="B349" s="225" t="s">
        <v>584</v>
      </c>
      <c r="C349" s="225">
        <v>100</v>
      </c>
      <c r="D349" s="225" t="s">
        <v>585</v>
      </c>
      <c r="E349" s="225">
        <v>40</v>
      </c>
      <c r="F349" s="225" t="s">
        <v>553</v>
      </c>
      <c r="G349" s="225">
        <v>1</v>
      </c>
      <c r="H349" s="225" t="s">
        <v>384</v>
      </c>
      <c r="I349" s="225" t="s">
        <v>586</v>
      </c>
      <c r="J349" s="228">
        <v>3</v>
      </c>
      <c r="K349" s="228"/>
      <c r="L349" s="228"/>
      <c r="M349" s="228"/>
      <c r="N349" s="228"/>
    </row>
    <row r="350" spans="1:14">
      <c r="A350" s="225" t="s">
        <v>583</v>
      </c>
      <c r="B350" s="225" t="s">
        <v>584</v>
      </c>
      <c r="C350" s="225">
        <v>100</v>
      </c>
      <c r="D350" s="225" t="s">
        <v>585</v>
      </c>
      <c r="E350" s="225">
        <v>41</v>
      </c>
      <c r="F350" s="225" t="s">
        <v>555</v>
      </c>
      <c r="G350" s="225">
        <v>5</v>
      </c>
      <c r="H350" s="225" t="s">
        <v>349</v>
      </c>
      <c r="I350" s="225" t="s">
        <v>586</v>
      </c>
      <c r="J350" s="228">
        <v>5</v>
      </c>
      <c r="K350" s="226">
        <v>110585</v>
      </c>
      <c r="L350" s="226">
        <v>135000</v>
      </c>
      <c r="M350" s="226">
        <v>163524</v>
      </c>
      <c r="N350" s="227">
        <v>136643.4</v>
      </c>
    </row>
    <row r="351" spans="1:14">
      <c r="A351" s="225" t="s">
        <v>583</v>
      </c>
      <c r="B351" s="225" t="s">
        <v>584</v>
      </c>
      <c r="C351" s="225">
        <v>100</v>
      </c>
      <c r="D351" s="225" t="s">
        <v>585</v>
      </c>
      <c r="E351" s="225">
        <v>41</v>
      </c>
      <c r="F351" s="225" t="s">
        <v>555</v>
      </c>
      <c r="G351" s="225">
        <v>4</v>
      </c>
      <c r="H351" s="225" t="s">
        <v>382</v>
      </c>
      <c r="I351" s="225" t="s">
        <v>586</v>
      </c>
      <c r="J351" s="228">
        <v>83</v>
      </c>
      <c r="K351" s="226">
        <v>163312</v>
      </c>
      <c r="L351" s="226">
        <v>171264</v>
      </c>
      <c r="M351" s="226">
        <v>185640</v>
      </c>
      <c r="N351" s="227">
        <v>177645.4</v>
      </c>
    </row>
    <row r="352" spans="1:14">
      <c r="A352" s="225" t="s">
        <v>583</v>
      </c>
      <c r="B352" s="225" t="s">
        <v>584</v>
      </c>
      <c r="C352" s="225">
        <v>100</v>
      </c>
      <c r="D352" s="225" t="s">
        <v>585</v>
      </c>
      <c r="E352" s="225">
        <v>41</v>
      </c>
      <c r="F352" s="225" t="s">
        <v>555</v>
      </c>
      <c r="G352" s="225">
        <v>3</v>
      </c>
      <c r="H352" s="225" t="s">
        <v>383</v>
      </c>
      <c r="I352" s="225" t="s">
        <v>586</v>
      </c>
      <c r="J352" s="228">
        <v>46</v>
      </c>
      <c r="K352" s="226">
        <v>188415</v>
      </c>
      <c r="L352" s="226">
        <v>200552</v>
      </c>
      <c r="M352" s="226">
        <v>221522</v>
      </c>
      <c r="N352" s="227">
        <v>209364.1</v>
      </c>
    </row>
    <row r="353" spans="1:14">
      <c r="A353" s="225" t="s">
        <v>583</v>
      </c>
      <c r="B353" s="225" t="s">
        <v>584</v>
      </c>
      <c r="C353" s="225">
        <v>100</v>
      </c>
      <c r="D353" s="225" t="s">
        <v>585</v>
      </c>
      <c r="E353" s="225">
        <v>41</v>
      </c>
      <c r="F353" s="225" t="s">
        <v>555</v>
      </c>
      <c r="G353" s="225">
        <v>2</v>
      </c>
      <c r="H353" s="225" t="s">
        <v>352</v>
      </c>
      <c r="I353" s="225" t="s">
        <v>586</v>
      </c>
      <c r="J353" s="228">
        <v>24</v>
      </c>
      <c r="K353" s="226">
        <v>227349</v>
      </c>
      <c r="L353" s="226">
        <v>247628</v>
      </c>
      <c r="M353" s="226">
        <v>295444</v>
      </c>
      <c r="N353" s="227">
        <v>283269.90000000002</v>
      </c>
    </row>
    <row r="354" spans="1:14">
      <c r="A354" s="225" t="s">
        <v>583</v>
      </c>
      <c r="B354" s="225" t="s">
        <v>584</v>
      </c>
      <c r="C354" s="225">
        <v>100</v>
      </c>
      <c r="D354" s="225" t="s">
        <v>585</v>
      </c>
      <c r="E354" s="225">
        <v>41</v>
      </c>
      <c r="F354" s="225" t="s">
        <v>555</v>
      </c>
      <c r="G354" s="225">
        <v>6</v>
      </c>
      <c r="H354" s="225" t="s">
        <v>385</v>
      </c>
      <c r="I354" s="225" t="s">
        <v>586</v>
      </c>
      <c r="J354" s="228">
        <v>23</v>
      </c>
      <c r="K354" s="226">
        <v>213451</v>
      </c>
      <c r="L354" s="226">
        <v>260734</v>
      </c>
      <c r="M354" s="226">
        <v>307177</v>
      </c>
      <c r="N354" s="227">
        <v>267838.09999999998</v>
      </c>
    </row>
    <row r="355" spans="1:14">
      <c r="A355" s="225" t="s">
        <v>583</v>
      </c>
      <c r="B355" s="225" t="s">
        <v>584</v>
      </c>
      <c r="C355" s="225">
        <v>100</v>
      </c>
      <c r="D355" s="225" t="s">
        <v>585</v>
      </c>
      <c r="E355" s="225">
        <v>41</v>
      </c>
      <c r="F355" s="225" t="s">
        <v>555</v>
      </c>
      <c r="G355" s="225">
        <v>1</v>
      </c>
      <c r="H355" s="225" t="s">
        <v>384</v>
      </c>
      <c r="I355" s="225" t="s">
        <v>586</v>
      </c>
      <c r="J355" s="228">
        <v>1</v>
      </c>
      <c r="K355" s="228"/>
      <c r="L355" s="228"/>
      <c r="M355" s="228"/>
      <c r="N355" s="228"/>
    </row>
    <row r="356" spans="1:14">
      <c r="A356" s="225" t="s">
        <v>583</v>
      </c>
      <c r="B356" s="225" t="s">
        <v>584</v>
      </c>
      <c r="C356" s="225">
        <v>100</v>
      </c>
      <c r="D356" s="225" t="s">
        <v>585</v>
      </c>
      <c r="E356" s="225">
        <v>43</v>
      </c>
      <c r="F356" s="225" t="s">
        <v>538</v>
      </c>
      <c r="G356" s="225">
        <v>5</v>
      </c>
      <c r="H356" s="225" t="s">
        <v>349</v>
      </c>
      <c r="I356" s="225" t="s">
        <v>586</v>
      </c>
      <c r="J356" s="228">
        <v>27</v>
      </c>
      <c r="K356" s="226">
        <v>92200</v>
      </c>
      <c r="L356" s="226">
        <v>150010</v>
      </c>
      <c r="M356" s="226">
        <v>194695</v>
      </c>
      <c r="N356" s="227">
        <v>187110.8</v>
      </c>
    </row>
    <row r="357" spans="1:14">
      <c r="A357" s="225" t="s">
        <v>583</v>
      </c>
      <c r="B357" s="225" t="s">
        <v>584</v>
      </c>
      <c r="C357" s="225">
        <v>100</v>
      </c>
      <c r="D357" s="225" t="s">
        <v>585</v>
      </c>
      <c r="E357" s="225">
        <v>43</v>
      </c>
      <c r="F357" s="225" t="s">
        <v>538</v>
      </c>
      <c r="G357" s="225">
        <v>4</v>
      </c>
      <c r="H357" s="225" t="s">
        <v>382</v>
      </c>
      <c r="I357" s="225" t="s">
        <v>586</v>
      </c>
      <c r="J357" s="228">
        <v>252</v>
      </c>
      <c r="K357" s="226">
        <v>165028</v>
      </c>
      <c r="L357" s="226">
        <v>183568</v>
      </c>
      <c r="M357" s="226">
        <v>217130</v>
      </c>
      <c r="N357" s="227">
        <v>201869.1</v>
      </c>
    </row>
    <row r="358" spans="1:14">
      <c r="A358" s="225" t="s">
        <v>583</v>
      </c>
      <c r="B358" s="225" t="s">
        <v>584</v>
      </c>
      <c r="C358" s="225">
        <v>100</v>
      </c>
      <c r="D358" s="225" t="s">
        <v>585</v>
      </c>
      <c r="E358" s="225">
        <v>43</v>
      </c>
      <c r="F358" s="225" t="s">
        <v>538</v>
      </c>
      <c r="G358" s="225">
        <v>3</v>
      </c>
      <c r="H358" s="225" t="s">
        <v>383</v>
      </c>
      <c r="I358" s="225" t="s">
        <v>586</v>
      </c>
      <c r="J358" s="228">
        <v>131</v>
      </c>
      <c r="K358" s="226">
        <v>185291</v>
      </c>
      <c r="L358" s="226">
        <v>213605</v>
      </c>
      <c r="M358" s="226">
        <v>257424</v>
      </c>
      <c r="N358" s="227">
        <v>238500.5</v>
      </c>
    </row>
    <row r="359" spans="1:14">
      <c r="A359" s="225" t="s">
        <v>583</v>
      </c>
      <c r="B359" s="225" t="s">
        <v>584</v>
      </c>
      <c r="C359" s="225">
        <v>100</v>
      </c>
      <c r="D359" s="225" t="s">
        <v>585</v>
      </c>
      <c r="E359" s="225">
        <v>43</v>
      </c>
      <c r="F359" s="225" t="s">
        <v>538</v>
      </c>
      <c r="G359" s="225">
        <v>2</v>
      </c>
      <c r="H359" s="225" t="s">
        <v>352</v>
      </c>
      <c r="I359" s="225" t="s">
        <v>586</v>
      </c>
      <c r="J359" s="228">
        <v>110</v>
      </c>
      <c r="K359" s="226">
        <v>237185</v>
      </c>
      <c r="L359" s="226">
        <v>284578</v>
      </c>
      <c r="M359" s="226">
        <v>364200</v>
      </c>
      <c r="N359" s="227">
        <v>325078.40000000002</v>
      </c>
    </row>
    <row r="360" spans="1:14">
      <c r="A360" s="225" t="s">
        <v>583</v>
      </c>
      <c r="B360" s="225" t="s">
        <v>584</v>
      </c>
      <c r="C360" s="225">
        <v>100</v>
      </c>
      <c r="D360" s="225" t="s">
        <v>585</v>
      </c>
      <c r="E360" s="225">
        <v>43</v>
      </c>
      <c r="F360" s="225" t="s">
        <v>538</v>
      </c>
      <c r="G360" s="225">
        <v>6</v>
      </c>
      <c r="H360" s="225" t="s">
        <v>385</v>
      </c>
      <c r="I360" s="225" t="s">
        <v>586</v>
      </c>
      <c r="J360" s="228">
        <v>44</v>
      </c>
      <c r="K360" s="226">
        <v>238146</v>
      </c>
      <c r="L360" s="226">
        <v>274271</v>
      </c>
      <c r="M360" s="226">
        <v>341360</v>
      </c>
      <c r="N360" s="227">
        <v>323949.40000000002</v>
      </c>
    </row>
    <row r="361" spans="1:14">
      <c r="A361" s="225" t="s">
        <v>583</v>
      </c>
      <c r="B361" s="225" t="s">
        <v>584</v>
      </c>
      <c r="C361" s="225">
        <v>100</v>
      </c>
      <c r="D361" s="225" t="s">
        <v>585</v>
      </c>
      <c r="E361" s="225">
        <v>43</v>
      </c>
      <c r="F361" s="225" t="s">
        <v>538</v>
      </c>
      <c r="G361" s="225">
        <v>1</v>
      </c>
      <c r="H361" s="225" t="s">
        <v>384</v>
      </c>
      <c r="I361" s="225" t="s">
        <v>586</v>
      </c>
      <c r="J361" s="228">
        <v>9</v>
      </c>
      <c r="K361" s="226">
        <v>525001</v>
      </c>
      <c r="L361" s="226">
        <v>705240</v>
      </c>
      <c r="M361" s="226">
        <v>945888</v>
      </c>
      <c r="N361" s="227">
        <v>766228.8</v>
      </c>
    </row>
    <row r="362" spans="1:14">
      <c r="A362" s="225" t="s">
        <v>583</v>
      </c>
      <c r="B362" s="225" t="s">
        <v>584</v>
      </c>
      <c r="C362" s="225">
        <v>100</v>
      </c>
      <c r="D362" s="225" t="s">
        <v>585</v>
      </c>
      <c r="E362" s="225">
        <v>-14</v>
      </c>
      <c r="F362" s="225" t="s">
        <v>564</v>
      </c>
      <c r="G362" s="225">
        <v>5</v>
      </c>
      <c r="H362" s="225" t="s">
        <v>349</v>
      </c>
      <c r="I362" s="225" t="s">
        <v>586</v>
      </c>
      <c r="J362" s="228">
        <v>170</v>
      </c>
      <c r="K362" s="226">
        <v>195245</v>
      </c>
      <c r="L362" s="226">
        <v>213289</v>
      </c>
      <c r="M362" s="226">
        <v>242635</v>
      </c>
      <c r="N362" s="227">
        <v>216556.1</v>
      </c>
    </row>
    <row r="363" spans="1:14">
      <c r="A363" s="225" t="s">
        <v>583</v>
      </c>
      <c r="B363" s="225" t="s">
        <v>584</v>
      </c>
      <c r="C363" s="225">
        <v>100</v>
      </c>
      <c r="D363" s="225" t="s">
        <v>585</v>
      </c>
      <c r="E363" s="225">
        <v>-14</v>
      </c>
      <c r="F363" s="225" t="s">
        <v>564</v>
      </c>
      <c r="G363" s="225">
        <v>4</v>
      </c>
      <c r="H363" s="225" t="s">
        <v>382</v>
      </c>
      <c r="I363" s="225" t="s">
        <v>586</v>
      </c>
      <c r="J363" s="226">
        <v>2088</v>
      </c>
      <c r="K363" s="226">
        <v>208749</v>
      </c>
      <c r="L363" s="226">
        <v>232478</v>
      </c>
      <c r="M363" s="226">
        <v>266752</v>
      </c>
      <c r="N363" s="227">
        <v>244814.2</v>
      </c>
    </row>
    <row r="364" spans="1:14">
      <c r="A364" s="225" t="s">
        <v>583</v>
      </c>
      <c r="B364" s="225" t="s">
        <v>584</v>
      </c>
      <c r="C364" s="225">
        <v>100</v>
      </c>
      <c r="D364" s="225" t="s">
        <v>585</v>
      </c>
      <c r="E364" s="225">
        <v>-14</v>
      </c>
      <c r="F364" s="225" t="s">
        <v>564</v>
      </c>
      <c r="G364" s="225">
        <v>3</v>
      </c>
      <c r="H364" s="225" t="s">
        <v>383</v>
      </c>
      <c r="I364" s="225" t="s">
        <v>586</v>
      </c>
      <c r="J364" s="228">
        <v>718</v>
      </c>
      <c r="K364" s="226">
        <v>222451</v>
      </c>
      <c r="L364" s="226">
        <v>248234</v>
      </c>
      <c r="M364" s="226">
        <v>285020</v>
      </c>
      <c r="N364" s="227">
        <v>261093.5</v>
      </c>
    </row>
    <row r="365" spans="1:14">
      <c r="A365" s="225" t="s">
        <v>583</v>
      </c>
      <c r="B365" s="225" t="s">
        <v>584</v>
      </c>
      <c r="C365" s="225">
        <v>100</v>
      </c>
      <c r="D365" s="225" t="s">
        <v>585</v>
      </c>
      <c r="E365" s="225">
        <v>-14</v>
      </c>
      <c r="F365" s="225" t="s">
        <v>564</v>
      </c>
      <c r="G365" s="225">
        <v>2</v>
      </c>
      <c r="H365" s="225" t="s">
        <v>352</v>
      </c>
      <c r="I365" s="225" t="s">
        <v>586</v>
      </c>
      <c r="J365" s="228">
        <v>734</v>
      </c>
      <c r="K365" s="226">
        <v>245295</v>
      </c>
      <c r="L365" s="226">
        <v>284114</v>
      </c>
      <c r="M365" s="226">
        <v>335950</v>
      </c>
      <c r="N365" s="227">
        <v>299357.5</v>
      </c>
    </row>
    <row r="366" spans="1:14">
      <c r="A366" s="225" t="s">
        <v>583</v>
      </c>
      <c r="B366" s="225" t="s">
        <v>584</v>
      </c>
      <c r="C366" s="225">
        <v>100</v>
      </c>
      <c r="D366" s="225" t="s">
        <v>585</v>
      </c>
      <c r="E366" s="225">
        <v>-14</v>
      </c>
      <c r="F366" s="225" t="s">
        <v>564</v>
      </c>
      <c r="G366" s="225">
        <v>6</v>
      </c>
      <c r="H366" s="225" t="s">
        <v>385</v>
      </c>
      <c r="I366" s="225" t="s">
        <v>586</v>
      </c>
      <c r="J366" s="228">
        <v>80</v>
      </c>
      <c r="K366" s="226">
        <v>251749</v>
      </c>
      <c r="L366" s="226">
        <v>288697</v>
      </c>
      <c r="M366" s="226">
        <v>383002</v>
      </c>
      <c r="N366" s="227">
        <v>341141.8</v>
      </c>
    </row>
    <row r="367" spans="1:14">
      <c r="A367" s="225" t="s">
        <v>583</v>
      </c>
      <c r="B367" s="225" t="s">
        <v>584</v>
      </c>
      <c r="C367" s="225">
        <v>100</v>
      </c>
      <c r="D367" s="225" t="s">
        <v>585</v>
      </c>
      <c r="E367" s="225">
        <v>-14</v>
      </c>
      <c r="F367" s="225" t="s">
        <v>564</v>
      </c>
      <c r="G367" s="225">
        <v>1</v>
      </c>
      <c r="H367" s="225" t="s">
        <v>384</v>
      </c>
      <c r="I367" s="225" t="s">
        <v>586</v>
      </c>
      <c r="J367" s="228">
        <v>105</v>
      </c>
      <c r="K367" s="226">
        <v>412008</v>
      </c>
      <c r="L367" s="226">
        <v>490734</v>
      </c>
      <c r="M367" s="226">
        <v>567800</v>
      </c>
      <c r="N367" s="227">
        <v>503011.2</v>
      </c>
    </row>
    <row r="368" spans="1:14">
      <c r="A368" s="225" t="s">
        <v>583</v>
      </c>
      <c r="B368" s="225" t="s">
        <v>584</v>
      </c>
      <c r="C368" s="225">
        <v>100</v>
      </c>
      <c r="D368" s="225" t="s">
        <v>585</v>
      </c>
      <c r="E368" s="225">
        <v>34</v>
      </c>
      <c r="F368" s="225" t="s">
        <v>548</v>
      </c>
      <c r="G368" s="225">
        <v>5</v>
      </c>
      <c r="H368" s="225" t="s">
        <v>349</v>
      </c>
      <c r="I368" s="225" t="s">
        <v>586</v>
      </c>
      <c r="J368" s="228">
        <v>12</v>
      </c>
      <c r="K368" s="226">
        <v>208884</v>
      </c>
      <c r="L368" s="226">
        <v>224273</v>
      </c>
      <c r="M368" s="226">
        <v>238005</v>
      </c>
      <c r="N368" s="227">
        <v>233791.8</v>
      </c>
    </row>
    <row r="369" spans="1:14">
      <c r="A369" s="225" t="s">
        <v>583</v>
      </c>
      <c r="B369" s="225" t="s">
        <v>584</v>
      </c>
      <c r="C369" s="225">
        <v>100</v>
      </c>
      <c r="D369" s="225" t="s">
        <v>585</v>
      </c>
      <c r="E369" s="225">
        <v>34</v>
      </c>
      <c r="F369" s="225" t="s">
        <v>548</v>
      </c>
      <c r="G369" s="225">
        <v>4</v>
      </c>
      <c r="H369" s="225" t="s">
        <v>382</v>
      </c>
      <c r="I369" s="225" t="s">
        <v>586</v>
      </c>
      <c r="J369" s="228">
        <v>413</v>
      </c>
      <c r="K369" s="226">
        <v>209154</v>
      </c>
      <c r="L369" s="226">
        <v>231000</v>
      </c>
      <c r="M369" s="226">
        <v>257492</v>
      </c>
      <c r="N369" s="227">
        <v>239336.2</v>
      </c>
    </row>
    <row r="370" spans="1:14">
      <c r="A370" s="225" t="s">
        <v>583</v>
      </c>
      <c r="B370" s="225" t="s">
        <v>584</v>
      </c>
      <c r="C370" s="225">
        <v>100</v>
      </c>
      <c r="D370" s="225" t="s">
        <v>585</v>
      </c>
      <c r="E370" s="225">
        <v>34</v>
      </c>
      <c r="F370" s="225" t="s">
        <v>548</v>
      </c>
      <c r="G370" s="225">
        <v>3</v>
      </c>
      <c r="H370" s="225" t="s">
        <v>383</v>
      </c>
      <c r="I370" s="225" t="s">
        <v>586</v>
      </c>
      <c r="J370" s="228">
        <v>148</v>
      </c>
      <c r="K370" s="226">
        <v>229718</v>
      </c>
      <c r="L370" s="226">
        <v>249549</v>
      </c>
      <c r="M370" s="226">
        <v>284976</v>
      </c>
      <c r="N370" s="227">
        <v>261106.8</v>
      </c>
    </row>
    <row r="371" spans="1:14">
      <c r="A371" s="225" t="s">
        <v>583</v>
      </c>
      <c r="B371" s="225" t="s">
        <v>584</v>
      </c>
      <c r="C371" s="225">
        <v>100</v>
      </c>
      <c r="D371" s="225" t="s">
        <v>585</v>
      </c>
      <c r="E371" s="225">
        <v>34</v>
      </c>
      <c r="F371" s="225" t="s">
        <v>548</v>
      </c>
      <c r="G371" s="225">
        <v>2</v>
      </c>
      <c r="H371" s="225" t="s">
        <v>352</v>
      </c>
      <c r="I371" s="225" t="s">
        <v>586</v>
      </c>
      <c r="J371" s="228">
        <v>131</v>
      </c>
      <c r="K371" s="226">
        <v>255599</v>
      </c>
      <c r="L371" s="226">
        <v>295432</v>
      </c>
      <c r="M371" s="226">
        <v>337836</v>
      </c>
      <c r="N371" s="227">
        <v>307388.90000000002</v>
      </c>
    </row>
    <row r="372" spans="1:14">
      <c r="A372" s="225" t="s">
        <v>583</v>
      </c>
      <c r="B372" s="225" t="s">
        <v>584</v>
      </c>
      <c r="C372" s="225">
        <v>100</v>
      </c>
      <c r="D372" s="225" t="s">
        <v>585</v>
      </c>
      <c r="E372" s="225">
        <v>34</v>
      </c>
      <c r="F372" s="225" t="s">
        <v>548</v>
      </c>
      <c r="G372" s="225">
        <v>6</v>
      </c>
      <c r="H372" s="225" t="s">
        <v>385</v>
      </c>
      <c r="I372" s="225" t="s">
        <v>586</v>
      </c>
      <c r="J372" s="228">
        <v>19</v>
      </c>
      <c r="K372" s="226">
        <v>247248</v>
      </c>
      <c r="L372" s="226">
        <v>289393</v>
      </c>
      <c r="M372" s="226">
        <v>396594</v>
      </c>
      <c r="N372" s="227">
        <v>312244.5</v>
      </c>
    </row>
    <row r="373" spans="1:14">
      <c r="A373" s="225" t="s">
        <v>583</v>
      </c>
      <c r="B373" s="225" t="s">
        <v>584</v>
      </c>
      <c r="C373" s="225">
        <v>100</v>
      </c>
      <c r="D373" s="225" t="s">
        <v>585</v>
      </c>
      <c r="E373" s="225">
        <v>34</v>
      </c>
      <c r="F373" s="225" t="s">
        <v>548</v>
      </c>
      <c r="G373" s="225">
        <v>1</v>
      </c>
      <c r="H373" s="225" t="s">
        <v>384</v>
      </c>
      <c r="I373" s="225" t="s">
        <v>586</v>
      </c>
      <c r="J373" s="228">
        <v>12</v>
      </c>
      <c r="K373" s="226">
        <v>334833</v>
      </c>
      <c r="L373" s="226">
        <v>467215</v>
      </c>
      <c r="M373" s="226">
        <v>555633</v>
      </c>
      <c r="N373" s="227">
        <v>458557.6</v>
      </c>
    </row>
    <row r="374" spans="1:14">
      <c r="A374" s="225" t="s">
        <v>583</v>
      </c>
      <c r="B374" s="225" t="s">
        <v>584</v>
      </c>
      <c r="C374" s="225">
        <v>100</v>
      </c>
      <c r="D374" s="225" t="s">
        <v>585</v>
      </c>
      <c r="E374" s="225">
        <v>97</v>
      </c>
      <c r="F374" s="225" t="s">
        <v>144</v>
      </c>
      <c r="G374" s="225">
        <v>5</v>
      </c>
      <c r="H374" s="225" t="s">
        <v>349</v>
      </c>
      <c r="I374" s="225" t="s">
        <v>586</v>
      </c>
      <c r="J374" s="228">
        <v>136</v>
      </c>
      <c r="K374" s="226">
        <v>192822</v>
      </c>
      <c r="L374" s="226">
        <v>212520</v>
      </c>
      <c r="M374" s="226">
        <v>242682</v>
      </c>
      <c r="N374" s="227">
        <v>215830.2</v>
      </c>
    </row>
    <row r="375" spans="1:14">
      <c r="A375" s="225" t="s">
        <v>583</v>
      </c>
      <c r="B375" s="225" t="s">
        <v>584</v>
      </c>
      <c r="C375" s="225">
        <v>100</v>
      </c>
      <c r="D375" s="225" t="s">
        <v>585</v>
      </c>
      <c r="E375" s="225">
        <v>97</v>
      </c>
      <c r="F375" s="225" t="s">
        <v>144</v>
      </c>
      <c r="G375" s="225">
        <v>4</v>
      </c>
      <c r="H375" s="225" t="s">
        <v>382</v>
      </c>
      <c r="I375" s="225" t="s">
        <v>586</v>
      </c>
      <c r="J375" s="226">
        <v>1455</v>
      </c>
      <c r="K375" s="226">
        <v>208395</v>
      </c>
      <c r="L375" s="226">
        <v>233228</v>
      </c>
      <c r="M375" s="226">
        <v>270000</v>
      </c>
      <c r="N375" s="227">
        <v>246112.5</v>
      </c>
    </row>
    <row r="376" spans="1:14">
      <c r="A376" s="225" t="s">
        <v>583</v>
      </c>
      <c r="B376" s="225" t="s">
        <v>584</v>
      </c>
      <c r="C376" s="225">
        <v>100</v>
      </c>
      <c r="D376" s="225" t="s">
        <v>585</v>
      </c>
      <c r="E376" s="225">
        <v>97</v>
      </c>
      <c r="F376" s="225" t="s">
        <v>144</v>
      </c>
      <c r="G376" s="225">
        <v>3</v>
      </c>
      <c r="H376" s="225" t="s">
        <v>383</v>
      </c>
      <c r="I376" s="225" t="s">
        <v>586</v>
      </c>
      <c r="J376" s="228">
        <v>500</v>
      </c>
      <c r="K376" s="226">
        <v>221177</v>
      </c>
      <c r="L376" s="226">
        <v>245356</v>
      </c>
      <c r="M376" s="226">
        <v>284099</v>
      </c>
      <c r="N376" s="227">
        <v>260672.5</v>
      </c>
    </row>
    <row r="377" spans="1:14">
      <c r="A377" s="225" t="s">
        <v>583</v>
      </c>
      <c r="B377" s="225" t="s">
        <v>584</v>
      </c>
      <c r="C377" s="225">
        <v>100</v>
      </c>
      <c r="D377" s="225" t="s">
        <v>585</v>
      </c>
      <c r="E377" s="225">
        <v>97</v>
      </c>
      <c r="F377" s="225" t="s">
        <v>144</v>
      </c>
      <c r="G377" s="225">
        <v>2</v>
      </c>
      <c r="H377" s="225" t="s">
        <v>352</v>
      </c>
      <c r="I377" s="225" t="s">
        <v>586</v>
      </c>
      <c r="J377" s="228">
        <v>531</v>
      </c>
      <c r="K377" s="226">
        <v>247500</v>
      </c>
      <c r="L377" s="226">
        <v>286619</v>
      </c>
      <c r="M377" s="226">
        <v>335950</v>
      </c>
      <c r="N377" s="227">
        <v>301666.7</v>
      </c>
    </row>
    <row r="378" spans="1:14">
      <c r="A378" s="225" t="s">
        <v>583</v>
      </c>
      <c r="B378" s="225" t="s">
        <v>584</v>
      </c>
      <c r="C378" s="225">
        <v>100</v>
      </c>
      <c r="D378" s="225" t="s">
        <v>585</v>
      </c>
      <c r="E378" s="225">
        <v>97</v>
      </c>
      <c r="F378" s="225" t="s">
        <v>144</v>
      </c>
      <c r="G378" s="225">
        <v>6</v>
      </c>
      <c r="H378" s="225" t="s">
        <v>385</v>
      </c>
      <c r="I378" s="225" t="s">
        <v>586</v>
      </c>
      <c r="J378" s="228">
        <v>45</v>
      </c>
      <c r="K378" s="226">
        <v>260965</v>
      </c>
      <c r="L378" s="226">
        <v>330265</v>
      </c>
      <c r="M378" s="226">
        <v>389075</v>
      </c>
      <c r="N378" s="227">
        <v>371183.5</v>
      </c>
    </row>
    <row r="379" spans="1:14">
      <c r="A379" s="225" t="s">
        <v>583</v>
      </c>
      <c r="B379" s="225" t="s">
        <v>584</v>
      </c>
      <c r="C379" s="225">
        <v>100</v>
      </c>
      <c r="D379" s="225" t="s">
        <v>585</v>
      </c>
      <c r="E379" s="225">
        <v>97</v>
      </c>
      <c r="F379" s="225" t="s">
        <v>144</v>
      </c>
      <c r="G379" s="225">
        <v>1</v>
      </c>
      <c r="H379" s="225" t="s">
        <v>384</v>
      </c>
      <c r="I379" s="225" t="s">
        <v>586</v>
      </c>
      <c r="J379" s="228">
        <v>85</v>
      </c>
      <c r="K379" s="226">
        <v>407791</v>
      </c>
      <c r="L379" s="226">
        <v>490734</v>
      </c>
      <c r="M379" s="226">
        <v>565587</v>
      </c>
      <c r="N379" s="227">
        <v>492371.5</v>
      </c>
    </row>
    <row r="380" spans="1:14">
      <c r="A380" s="225" t="s">
        <v>583</v>
      </c>
      <c r="B380" s="225" t="s">
        <v>584</v>
      </c>
      <c r="C380" s="225">
        <v>100</v>
      </c>
      <c r="D380" s="225" t="s">
        <v>585</v>
      </c>
      <c r="E380" s="225">
        <v>106</v>
      </c>
      <c r="F380" s="225" t="s">
        <v>550</v>
      </c>
      <c r="G380" s="225">
        <v>5</v>
      </c>
      <c r="H380" s="225" t="s">
        <v>349</v>
      </c>
      <c r="I380" s="225" t="s">
        <v>586</v>
      </c>
      <c r="J380" s="228">
        <v>0</v>
      </c>
      <c r="K380" s="228"/>
      <c r="L380" s="228"/>
      <c r="M380" s="228"/>
      <c r="N380" s="228"/>
    </row>
    <row r="381" spans="1:14">
      <c r="A381" s="225" t="s">
        <v>583</v>
      </c>
      <c r="B381" s="225" t="s">
        <v>584</v>
      </c>
      <c r="C381" s="225">
        <v>100</v>
      </c>
      <c r="D381" s="225" t="s">
        <v>585</v>
      </c>
      <c r="E381" s="225">
        <v>106</v>
      </c>
      <c r="F381" s="225" t="s">
        <v>550</v>
      </c>
      <c r="G381" s="225">
        <v>4</v>
      </c>
      <c r="H381" s="225" t="s">
        <v>382</v>
      </c>
      <c r="I381" s="225" t="s">
        <v>586</v>
      </c>
      <c r="J381" s="228">
        <v>33</v>
      </c>
      <c r="K381" s="226">
        <v>249228</v>
      </c>
      <c r="L381" s="226">
        <v>262000</v>
      </c>
      <c r="M381" s="226">
        <v>300625</v>
      </c>
      <c r="N381" s="227">
        <v>283920.09999999998</v>
      </c>
    </row>
    <row r="382" spans="1:14">
      <c r="A382" s="225" t="s">
        <v>583</v>
      </c>
      <c r="B382" s="225" t="s">
        <v>584</v>
      </c>
      <c r="C382" s="225">
        <v>100</v>
      </c>
      <c r="D382" s="225" t="s">
        <v>585</v>
      </c>
      <c r="E382" s="225">
        <v>106</v>
      </c>
      <c r="F382" s="225" t="s">
        <v>550</v>
      </c>
      <c r="G382" s="225">
        <v>3</v>
      </c>
      <c r="H382" s="225" t="s">
        <v>383</v>
      </c>
      <c r="I382" s="225" t="s">
        <v>586</v>
      </c>
      <c r="J382" s="228">
        <v>3</v>
      </c>
      <c r="K382" s="228"/>
      <c r="L382" s="228"/>
      <c r="M382" s="228"/>
      <c r="N382" s="228"/>
    </row>
    <row r="383" spans="1:14">
      <c r="A383" s="225" t="s">
        <v>583</v>
      </c>
      <c r="B383" s="225" t="s">
        <v>584</v>
      </c>
      <c r="C383" s="225">
        <v>100</v>
      </c>
      <c r="D383" s="225" t="s">
        <v>585</v>
      </c>
      <c r="E383" s="225">
        <v>106</v>
      </c>
      <c r="F383" s="225" t="s">
        <v>550</v>
      </c>
      <c r="G383" s="225">
        <v>2</v>
      </c>
      <c r="H383" s="225" t="s">
        <v>352</v>
      </c>
      <c r="I383" s="225" t="s">
        <v>586</v>
      </c>
      <c r="J383" s="228">
        <v>3</v>
      </c>
      <c r="K383" s="228"/>
      <c r="L383" s="228"/>
      <c r="M383" s="228"/>
      <c r="N383" s="228"/>
    </row>
    <row r="384" spans="1:14">
      <c r="A384" s="225" t="s">
        <v>583</v>
      </c>
      <c r="B384" s="225" t="s">
        <v>584</v>
      </c>
      <c r="C384" s="225">
        <v>100</v>
      </c>
      <c r="D384" s="225" t="s">
        <v>585</v>
      </c>
      <c r="E384" s="225">
        <v>106</v>
      </c>
      <c r="F384" s="225" t="s">
        <v>550</v>
      </c>
      <c r="G384" s="225">
        <v>6</v>
      </c>
      <c r="H384" s="225" t="s">
        <v>385</v>
      </c>
      <c r="I384" s="225" t="s">
        <v>586</v>
      </c>
      <c r="J384" s="228">
        <v>0</v>
      </c>
      <c r="K384" s="228"/>
      <c r="L384" s="228"/>
      <c r="M384" s="228"/>
      <c r="N384" s="228"/>
    </row>
    <row r="385" spans="1:14">
      <c r="A385" s="225" t="s">
        <v>583</v>
      </c>
      <c r="B385" s="225" t="s">
        <v>584</v>
      </c>
      <c r="C385" s="225">
        <v>100</v>
      </c>
      <c r="D385" s="225" t="s">
        <v>585</v>
      </c>
      <c r="E385" s="225">
        <v>106</v>
      </c>
      <c r="F385" s="225" t="s">
        <v>550</v>
      </c>
      <c r="G385" s="225">
        <v>1</v>
      </c>
      <c r="H385" s="225" t="s">
        <v>384</v>
      </c>
      <c r="I385" s="225" t="s">
        <v>586</v>
      </c>
      <c r="J385" s="228">
        <v>0</v>
      </c>
      <c r="K385" s="228"/>
      <c r="L385" s="228"/>
      <c r="M385" s="228"/>
      <c r="N385" s="228"/>
    </row>
    <row r="386" spans="1:14">
      <c r="A386" s="225" t="s">
        <v>583</v>
      </c>
      <c r="B386" s="225" t="s">
        <v>584</v>
      </c>
      <c r="C386" s="225">
        <v>100</v>
      </c>
      <c r="D386" s="225" t="s">
        <v>585</v>
      </c>
      <c r="E386" s="225">
        <v>98</v>
      </c>
      <c r="F386" s="225" t="s">
        <v>549</v>
      </c>
      <c r="G386" s="225">
        <v>5</v>
      </c>
      <c r="H386" s="225" t="s">
        <v>349</v>
      </c>
      <c r="I386" s="225" t="s">
        <v>586</v>
      </c>
      <c r="J386" s="228">
        <v>22</v>
      </c>
      <c r="K386" s="226">
        <v>182252</v>
      </c>
      <c r="L386" s="226">
        <v>213500</v>
      </c>
      <c r="M386" s="226">
        <v>250000</v>
      </c>
      <c r="N386" s="227">
        <v>211642.7</v>
      </c>
    </row>
    <row r="387" spans="1:14">
      <c r="A387" s="225" t="s">
        <v>583</v>
      </c>
      <c r="B387" s="225" t="s">
        <v>584</v>
      </c>
      <c r="C387" s="225">
        <v>100</v>
      </c>
      <c r="D387" s="225" t="s">
        <v>585</v>
      </c>
      <c r="E387" s="225">
        <v>98</v>
      </c>
      <c r="F387" s="225" t="s">
        <v>549</v>
      </c>
      <c r="G387" s="225">
        <v>4</v>
      </c>
      <c r="H387" s="225" t="s">
        <v>382</v>
      </c>
      <c r="I387" s="225" t="s">
        <v>586</v>
      </c>
      <c r="J387" s="228">
        <v>187</v>
      </c>
      <c r="K387" s="226">
        <v>207000</v>
      </c>
      <c r="L387" s="226">
        <v>230000</v>
      </c>
      <c r="M387" s="226">
        <v>267733</v>
      </c>
      <c r="N387" s="227">
        <v>239909.9</v>
      </c>
    </row>
    <row r="388" spans="1:14">
      <c r="A388" s="225" t="s">
        <v>583</v>
      </c>
      <c r="B388" s="225" t="s">
        <v>584</v>
      </c>
      <c r="C388" s="225">
        <v>100</v>
      </c>
      <c r="D388" s="225" t="s">
        <v>585</v>
      </c>
      <c r="E388" s="225">
        <v>98</v>
      </c>
      <c r="F388" s="225" t="s">
        <v>549</v>
      </c>
      <c r="G388" s="225">
        <v>3</v>
      </c>
      <c r="H388" s="225" t="s">
        <v>383</v>
      </c>
      <c r="I388" s="225" t="s">
        <v>586</v>
      </c>
      <c r="J388" s="228">
        <v>67</v>
      </c>
      <c r="K388" s="226">
        <v>213845</v>
      </c>
      <c r="L388" s="226">
        <v>251103</v>
      </c>
      <c r="M388" s="226">
        <v>321800</v>
      </c>
      <c r="N388" s="227">
        <v>266703.40000000002</v>
      </c>
    </row>
    <row r="389" spans="1:14">
      <c r="A389" s="225" t="s">
        <v>583</v>
      </c>
      <c r="B389" s="225" t="s">
        <v>584</v>
      </c>
      <c r="C389" s="225">
        <v>100</v>
      </c>
      <c r="D389" s="225" t="s">
        <v>585</v>
      </c>
      <c r="E389" s="225">
        <v>98</v>
      </c>
      <c r="F389" s="225" t="s">
        <v>549</v>
      </c>
      <c r="G389" s="225">
        <v>2</v>
      </c>
      <c r="H389" s="225" t="s">
        <v>352</v>
      </c>
      <c r="I389" s="225" t="s">
        <v>586</v>
      </c>
      <c r="J389" s="228">
        <v>69</v>
      </c>
      <c r="K389" s="226">
        <v>187212</v>
      </c>
      <c r="L389" s="226">
        <v>260000</v>
      </c>
      <c r="M389" s="226">
        <v>315968</v>
      </c>
      <c r="N389" s="227">
        <v>265069.40000000002</v>
      </c>
    </row>
    <row r="390" spans="1:14">
      <c r="A390" s="225" t="s">
        <v>583</v>
      </c>
      <c r="B390" s="225" t="s">
        <v>584</v>
      </c>
      <c r="C390" s="225">
        <v>100</v>
      </c>
      <c r="D390" s="225" t="s">
        <v>585</v>
      </c>
      <c r="E390" s="225">
        <v>98</v>
      </c>
      <c r="F390" s="225" t="s">
        <v>549</v>
      </c>
      <c r="G390" s="225">
        <v>6</v>
      </c>
      <c r="H390" s="225" t="s">
        <v>385</v>
      </c>
      <c r="I390" s="225" t="s">
        <v>586</v>
      </c>
      <c r="J390" s="228">
        <v>16</v>
      </c>
      <c r="K390" s="226">
        <v>192969</v>
      </c>
      <c r="L390" s="226">
        <v>254779</v>
      </c>
      <c r="M390" s="226">
        <v>303237</v>
      </c>
      <c r="N390" s="227">
        <v>290965.3</v>
      </c>
    </row>
    <row r="391" spans="1:14">
      <c r="A391" s="225" t="s">
        <v>583</v>
      </c>
      <c r="B391" s="225" t="s">
        <v>584</v>
      </c>
      <c r="C391" s="225">
        <v>100</v>
      </c>
      <c r="D391" s="225" t="s">
        <v>585</v>
      </c>
      <c r="E391" s="225">
        <v>98</v>
      </c>
      <c r="F391" s="225" t="s">
        <v>549</v>
      </c>
      <c r="G391" s="225">
        <v>1</v>
      </c>
      <c r="H391" s="225" t="s">
        <v>384</v>
      </c>
      <c r="I391" s="225" t="s">
        <v>586</v>
      </c>
      <c r="J391" s="228">
        <v>8</v>
      </c>
      <c r="K391" s="226">
        <v>480825</v>
      </c>
      <c r="L391" s="226">
        <v>625370</v>
      </c>
      <c r="M391" s="226">
        <v>888694</v>
      </c>
      <c r="N391" s="227">
        <v>682737.9</v>
      </c>
    </row>
    <row r="392" spans="1:14">
      <c r="A392" s="225" t="s">
        <v>583</v>
      </c>
      <c r="B392" s="225" t="s">
        <v>584</v>
      </c>
      <c r="C392" s="225">
        <v>100</v>
      </c>
      <c r="D392" s="225" t="s">
        <v>585</v>
      </c>
      <c r="E392" s="225">
        <v>-8</v>
      </c>
      <c r="F392" s="225" t="s">
        <v>565</v>
      </c>
      <c r="G392" s="225">
        <v>5</v>
      </c>
      <c r="H392" s="225" t="s">
        <v>349</v>
      </c>
      <c r="I392" s="225" t="s">
        <v>586</v>
      </c>
      <c r="J392" s="228">
        <v>297</v>
      </c>
      <c r="K392" s="226">
        <v>113031</v>
      </c>
      <c r="L392" s="226">
        <v>344000</v>
      </c>
      <c r="M392" s="226">
        <v>414057</v>
      </c>
      <c r="N392" s="227">
        <v>304701.59999999998</v>
      </c>
    </row>
    <row r="393" spans="1:14">
      <c r="A393" s="225" t="s">
        <v>583</v>
      </c>
      <c r="B393" s="225" t="s">
        <v>584</v>
      </c>
      <c r="C393" s="225">
        <v>100</v>
      </c>
      <c r="D393" s="225" t="s">
        <v>585</v>
      </c>
      <c r="E393" s="225">
        <v>-8</v>
      </c>
      <c r="F393" s="225" t="s">
        <v>565</v>
      </c>
      <c r="G393" s="225">
        <v>4</v>
      </c>
      <c r="H393" s="225" t="s">
        <v>382</v>
      </c>
      <c r="I393" s="225" t="s">
        <v>586</v>
      </c>
      <c r="J393" s="226">
        <v>2829</v>
      </c>
      <c r="K393" s="226">
        <v>352175</v>
      </c>
      <c r="L393" s="226">
        <v>395500</v>
      </c>
      <c r="M393" s="226">
        <v>449540</v>
      </c>
      <c r="N393" s="227">
        <v>406583.1</v>
      </c>
    </row>
    <row r="394" spans="1:14">
      <c r="A394" s="225" t="s">
        <v>583</v>
      </c>
      <c r="B394" s="225" t="s">
        <v>584</v>
      </c>
      <c r="C394" s="225">
        <v>100</v>
      </c>
      <c r="D394" s="225" t="s">
        <v>585</v>
      </c>
      <c r="E394" s="225">
        <v>-8</v>
      </c>
      <c r="F394" s="225" t="s">
        <v>565</v>
      </c>
      <c r="G394" s="225">
        <v>3</v>
      </c>
      <c r="H394" s="225" t="s">
        <v>383</v>
      </c>
      <c r="I394" s="225" t="s">
        <v>586</v>
      </c>
      <c r="J394" s="226">
        <v>1376</v>
      </c>
      <c r="K394" s="226">
        <v>395419</v>
      </c>
      <c r="L394" s="226">
        <v>438488</v>
      </c>
      <c r="M394" s="226">
        <v>500235</v>
      </c>
      <c r="N394" s="227">
        <v>452174.4</v>
      </c>
    </row>
    <row r="395" spans="1:14">
      <c r="A395" s="225" t="s">
        <v>583</v>
      </c>
      <c r="B395" s="225" t="s">
        <v>584</v>
      </c>
      <c r="C395" s="225">
        <v>100</v>
      </c>
      <c r="D395" s="225" t="s">
        <v>585</v>
      </c>
      <c r="E395" s="225">
        <v>-8</v>
      </c>
      <c r="F395" s="225" t="s">
        <v>565</v>
      </c>
      <c r="G395" s="225">
        <v>2</v>
      </c>
      <c r="H395" s="225" t="s">
        <v>352</v>
      </c>
      <c r="I395" s="225" t="s">
        <v>586</v>
      </c>
      <c r="J395" s="228">
        <v>993</v>
      </c>
      <c r="K395" s="226">
        <v>409448</v>
      </c>
      <c r="L395" s="226">
        <v>467311</v>
      </c>
      <c r="M395" s="226">
        <v>530519</v>
      </c>
      <c r="N395" s="227">
        <v>472611.4</v>
      </c>
    </row>
    <row r="396" spans="1:14">
      <c r="A396" s="225" t="s">
        <v>583</v>
      </c>
      <c r="B396" s="225" t="s">
        <v>584</v>
      </c>
      <c r="C396" s="225">
        <v>100</v>
      </c>
      <c r="D396" s="225" t="s">
        <v>585</v>
      </c>
      <c r="E396" s="225">
        <v>-8</v>
      </c>
      <c r="F396" s="225" t="s">
        <v>565</v>
      </c>
      <c r="G396" s="225">
        <v>6</v>
      </c>
      <c r="H396" s="225" t="s">
        <v>385</v>
      </c>
      <c r="I396" s="225" t="s">
        <v>586</v>
      </c>
      <c r="J396" s="228">
        <v>197</v>
      </c>
      <c r="K396" s="226">
        <v>417156</v>
      </c>
      <c r="L396" s="226">
        <v>472686</v>
      </c>
      <c r="M396" s="226">
        <v>540252</v>
      </c>
      <c r="N396" s="227">
        <v>485860.8</v>
      </c>
    </row>
    <row r="397" spans="1:14">
      <c r="A397" s="225" t="s">
        <v>583</v>
      </c>
      <c r="B397" s="225" t="s">
        <v>584</v>
      </c>
      <c r="C397" s="225">
        <v>100</v>
      </c>
      <c r="D397" s="225" t="s">
        <v>585</v>
      </c>
      <c r="E397" s="225">
        <v>-8</v>
      </c>
      <c r="F397" s="225" t="s">
        <v>565</v>
      </c>
      <c r="G397" s="225">
        <v>1</v>
      </c>
      <c r="H397" s="225" t="s">
        <v>384</v>
      </c>
      <c r="I397" s="225" t="s">
        <v>586</v>
      </c>
      <c r="J397" s="228">
        <v>154</v>
      </c>
      <c r="K397" s="226">
        <v>671519</v>
      </c>
      <c r="L397" s="226">
        <v>769463</v>
      </c>
      <c r="M397" s="226">
        <v>868822</v>
      </c>
      <c r="N397" s="227">
        <v>788983</v>
      </c>
    </row>
    <row r="398" spans="1:14">
      <c r="A398" s="225" t="s">
        <v>583</v>
      </c>
      <c r="B398" s="225" t="s">
        <v>584</v>
      </c>
      <c r="C398" s="225">
        <v>100</v>
      </c>
      <c r="D398" s="225" t="s">
        <v>585</v>
      </c>
      <c r="E398" s="225">
        <v>-11</v>
      </c>
      <c r="F398" s="225" t="s">
        <v>509</v>
      </c>
      <c r="G398" s="225">
        <v>5</v>
      </c>
      <c r="H398" s="225" t="s">
        <v>349</v>
      </c>
      <c r="I398" s="225" t="s">
        <v>586</v>
      </c>
      <c r="J398" s="228">
        <v>226</v>
      </c>
      <c r="K398" s="226">
        <v>110000</v>
      </c>
      <c r="L398" s="226">
        <v>353844</v>
      </c>
      <c r="M398" s="226">
        <v>417418</v>
      </c>
      <c r="N398" s="227">
        <v>307366.2</v>
      </c>
    </row>
    <row r="399" spans="1:14">
      <c r="A399" s="225" t="s">
        <v>583</v>
      </c>
      <c r="B399" s="225" t="s">
        <v>584</v>
      </c>
      <c r="C399" s="225">
        <v>100</v>
      </c>
      <c r="D399" s="225" t="s">
        <v>585</v>
      </c>
      <c r="E399" s="225">
        <v>-11</v>
      </c>
      <c r="F399" s="225" t="s">
        <v>509</v>
      </c>
      <c r="G399" s="225">
        <v>4</v>
      </c>
      <c r="H399" s="225" t="s">
        <v>382</v>
      </c>
      <c r="I399" s="225" t="s">
        <v>586</v>
      </c>
      <c r="J399" s="226">
        <v>1999</v>
      </c>
      <c r="K399" s="226">
        <v>356300</v>
      </c>
      <c r="L399" s="226">
        <v>398934</v>
      </c>
      <c r="M399" s="226">
        <v>450283</v>
      </c>
      <c r="N399" s="227">
        <v>411861.4</v>
      </c>
    </row>
    <row r="400" spans="1:14">
      <c r="A400" s="225" t="s">
        <v>583</v>
      </c>
      <c r="B400" s="225" t="s">
        <v>584</v>
      </c>
      <c r="C400" s="225">
        <v>100</v>
      </c>
      <c r="D400" s="225" t="s">
        <v>585</v>
      </c>
      <c r="E400" s="225">
        <v>-11</v>
      </c>
      <c r="F400" s="225" t="s">
        <v>509</v>
      </c>
      <c r="G400" s="225">
        <v>3</v>
      </c>
      <c r="H400" s="225" t="s">
        <v>383</v>
      </c>
      <c r="I400" s="225" t="s">
        <v>586</v>
      </c>
      <c r="J400" s="228">
        <v>957</v>
      </c>
      <c r="K400" s="226">
        <v>395802</v>
      </c>
      <c r="L400" s="226">
        <v>436382</v>
      </c>
      <c r="M400" s="226">
        <v>491407</v>
      </c>
      <c r="N400" s="227">
        <v>453046.2</v>
      </c>
    </row>
    <row r="401" spans="1:14">
      <c r="A401" s="225" t="s">
        <v>583</v>
      </c>
      <c r="B401" s="225" t="s">
        <v>584</v>
      </c>
      <c r="C401" s="225">
        <v>100</v>
      </c>
      <c r="D401" s="225" t="s">
        <v>585</v>
      </c>
      <c r="E401" s="225">
        <v>-11</v>
      </c>
      <c r="F401" s="225" t="s">
        <v>509</v>
      </c>
      <c r="G401" s="225">
        <v>2</v>
      </c>
      <c r="H401" s="225" t="s">
        <v>352</v>
      </c>
      <c r="I401" s="225" t="s">
        <v>586</v>
      </c>
      <c r="J401" s="228">
        <v>649</v>
      </c>
      <c r="K401" s="226">
        <v>411764</v>
      </c>
      <c r="L401" s="226">
        <v>462212</v>
      </c>
      <c r="M401" s="226">
        <v>525209</v>
      </c>
      <c r="N401" s="227">
        <v>470094</v>
      </c>
    </row>
    <row r="402" spans="1:14">
      <c r="A402" s="225" t="s">
        <v>583</v>
      </c>
      <c r="B402" s="225" t="s">
        <v>584</v>
      </c>
      <c r="C402" s="225">
        <v>100</v>
      </c>
      <c r="D402" s="225" t="s">
        <v>585</v>
      </c>
      <c r="E402" s="225">
        <v>-11</v>
      </c>
      <c r="F402" s="225" t="s">
        <v>509</v>
      </c>
      <c r="G402" s="225">
        <v>6</v>
      </c>
      <c r="H402" s="225" t="s">
        <v>385</v>
      </c>
      <c r="I402" s="225" t="s">
        <v>586</v>
      </c>
      <c r="J402" s="228">
        <v>148</v>
      </c>
      <c r="K402" s="226">
        <v>417359</v>
      </c>
      <c r="L402" s="226">
        <v>473990</v>
      </c>
      <c r="M402" s="226">
        <v>552625</v>
      </c>
      <c r="N402" s="227">
        <v>487640.8</v>
      </c>
    </row>
    <row r="403" spans="1:14">
      <c r="A403" s="225" t="s">
        <v>583</v>
      </c>
      <c r="B403" s="225" t="s">
        <v>584</v>
      </c>
      <c r="C403" s="225">
        <v>100</v>
      </c>
      <c r="D403" s="225" t="s">
        <v>585</v>
      </c>
      <c r="E403" s="225">
        <v>-11</v>
      </c>
      <c r="F403" s="225" t="s">
        <v>509</v>
      </c>
      <c r="G403" s="225">
        <v>1</v>
      </c>
      <c r="H403" s="225" t="s">
        <v>384</v>
      </c>
      <c r="I403" s="225" t="s">
        <v>586</v>
      </c>
      <c r="J403" s="228">
        <v>68</v>
      </c>
      <c r="K403" s="226">
        <v>643172</v>
      </c>
      <c r="L403" s="226">
        <v>717944</v>
      </c>
      <c r="M403" s="226">
        <v>828000</v>
      </c>
      <c r="N403" s="227">
        <v>758788.7</v>
      </c>
    </row>
    <row r="404" spans="1:14">
      <c r="A404" s="225" t="s">
        <v>583</v>
      </c>
      <c r="B404" s="225" t="s">
        <v>584</v>
      </c>
      <c r="C404" s="225">
        <v>100</v>
      </c>
      <c r="D404" s="225" t="s">
        <v>585</v>
      </c>
      <c r="E404" s="225">
        <v>83</v>
      </c>
      <c r="F404" s="225" t="s">
        <v>507</v>
      </c>
      <c r="G404" s="225">
        <v>5</v>
      </c>
      <c r="H404" s="225" t="s">
        <v>349</v>
      </c>
      <c r="I404" s="225" t="s">
        <v>586</v>
      </c>
      <c r="J404" s="228">
        <v>22</v>
      </c>
      <c r="K404" s="226">
        <v>163838</v>
      </c>
      <c r="L404" s="226">
        <v>403000</v>
      </c>
      <c r="M404" s="226">
        <v>470000</v>
      </c>
      <c r="N404" s="227">
        <v>369505.3</v>
      </c>
    </row>
    <row r="405" spans="1:14">
      <c r="A405" s="225" t="s">
        <v>583</v>
      </c>
      <c r="B405" s="225" t="s">
        <v>584</v>
      </c>
      <c r="C405" s="225">
        <v>100</v>
      </c>
      <c r="D405" s="225" t="s">
        <v>585</v>
      </c>
      <c r="E405" s="225">
        <v>83</v>
      </c>
      <c r="F405" s="225" t="s">
        <v>507</v>
      </c>
      <c r="G405" s="225">
        <v>4</v>
      </c>
      <c r="H405" s="225" t="s">
        <v>382</v>
      </c>
      <c r="I405" s="225" t="s">
        <v>586</v>
      </c>
      <c r="J405" s="228">
        <v>490</v>
      </c>
      <c r="K405" s="226">
        <v>385663</v>
      </c>
      <c r="L405" s="226">
        <v>432892</v>
      </c>
      <c r="M405" s="226">
        <v>487036</v>
      </c>
      <c r="N405" s="227">
        <v>449321.8</v>
      </c>
    </row>
    <row r="406" spans="1:14">
      <c r="A406" s="225" t="s">
        <v>583</v>
      </c>
      <c r="B406" s="225" t="s">
        <v>584</v>
      </c>
      <c r="C406" s="225">
        <v>100</v>
      </c>
      <c r="D406" s="225" t="s">
        <v>585</v>
      </c>
      <c r="E406" s="225">
        <v>83</v>
      </c>
      <c r="F406" s="225" t="s">
        <v>507</v>
      </c>
      <c r="G406" s="225">
        <v>3</v>
      </c>
      <c r="H406" s="225" t="s">
        <v>383</v>
      </c>
      <c r="I406" s="225" t="s">
        <v>586</v>
      </c>
      <c r="J406" s="228">
        <v>239</v>
      </c>
      <c r="K406" s="226">
        <v>429069</v>
      </c>
      <c r="L406" s="226">
        <v>475000</v>
      </c>
      <c r="M406" s="226">
        <v>531926</v>
      </c>
      <c r="N406" s="227">
        <v>496919</v>
      </c>
    </row>
    <row r="407" spans="1:14">
      <c r="A407" s="225" t="s">
        <v>583</v>
      </c>
      <c r="B407" s="225" t="s">
        <v>584</v>
      </c>
      <c r="C407" s="225">
        <v>100</v>
      </c>
      <c r="D407" s="225" t="s">
        <v>585</v>
      </c>
      <c r="E407" s="225">
        <v>83</v>
      </c>
      <c r="F407" s="225" t="s">
        <v>507</v>
      </c>
      <c r="G407" s="225">
        <v>2</v>
      </c>
      <c r="H407" s="225" t="s">
        <v>352</v>
      </c>
      <c r="I407" s="225" t="s">
        <v>586</v>
      </c>
      <c r="J407" s="228">
        <v>130</v>
      </c>
      <c r="K407" s="226">
        <v>456479</v>
      </c>
      <c r="L407" s="226">
        <v>503011</v>
      </c>
      <c r="M407" s="226">
        <v>580684</v>
      </c>
      <c r="N407" s="227">
        <v>520854.6</v>
      </c>
    </row>
    <row r="408" spans="1:14">
      <c r="A408" s="225" t="s">
        <v>583</v>
      </c>
      <c r="B408" s="225" t="s">
        <v>584</v>
      </c>
      <c r="C408" s="225">
        <v>100</v>
      </c>
      <c r="D408" s="225" t="s">
        <v>585</v>
      </c>
      <c r="E408" s="225">
        <v>83</v>
      </c>
      <c r="F408" s="225" t="s">
        <v>507</v>
      </c>
      <c r="G408" s="225">
        <v>6</v>
      </c>
      <c r="H408" s="225" t="s">
        <v>385</v>
      </c>
      <c r="I408" s="225" t="s">
        <v>586</v>
      </c>
      <c r="J408" s="228">
        <v>28</v>
      </c>
      <c r="K408" s="226">
        <v>470120</v>
      </c>
      <c r="L408" s="226">
        <v>558153</v>
      </c>
      <c r="M408" s="226">
        <v>614165</v>
      </c>
      <c r="N408" s="227">
        <v>549194</v>
      </c>
    </row>
    <row r="409" spans="1:14">
      <c r="A409" s="225" t="s">
        <v>583</v>
      </c>
      <c r="B409" s="225" t="s">
        <v>584</v>
      </c>
      <c r="C409" s="225">
        <v>100</v>
      </c>
      <c r="D409" s="225" t="s">
        <v>585</v>
      </c>
      <c r="E409" s="225">
        <v>83</v>
      </c>
      <c r="F409" s="225" t="s">
        <v>507</v>
      </c>
      <c r="G409" s="225">
        <v>1</v>
      </c>
      <c r="H409" s="225" t="s">
        <v>384</v>
      </c>
      <c r="I409" s="225" t="s">
        <v>586</v>
      </c>
      <c r="J409" s="228">
        <v>15</v>
      </c>
      <c r="K409" s="226">
        <v>608980</v>
      </c>
      <c r="L409" s="226">
        <v>683045</v>
      </c>
      <c r="M409" s="226">
        <v>868932</v>
      </c>
      <c r="N409" s="227">
        <v>793068.5</v>
      </c>
    </row>
    <row r="410" spans="1:14">
      <c r="A410" s="225" t="s">
        <v>583</v>
      </c>
      <c r="B410" s="225" t="s">
        <v>584</v>
      </c>
      <c r="C410" s="225">
        <v>100</v>
      </c>
      <c r="D410" s="225" t="s">
        <v>585</v>
      </c>
      <c r="E410" s="225">
        <v>84</v>
      </c>
      <c r="F410" s="225" t="s">
        <v>508</v>
      </c>
      <c r="G410" s="225">
        <v>5</v>
      </c>
      <c r="H410" s="225" t="s">
        <v>349</v>
      </c>
      <c r="I410" s="225" t="s">
        <v>586</v>
      </c>
      <c r="J410" s="228">
        <v>204</v>
      </c>
      <c r="K410" s="226">
        <v>109734</v>
      </c>
      <c r="L410" s="226">
        <v>351291</v>
      </c>
      <c r="M410" s="226">
        <v>413822</v>
      </c>
      <c r="N410" s="227">
        <v>300665</v>
      </c>
    </row>
    <row r="411" spans="1:14">
      <c r="A411" s="225" t="s">
        <v>583</v>
      </c>
      <c r="B411" s="225" t="s">
        <v>584</v>
      </c>
      <c r="C411" s="225">
        <v>100</v>
      </c>
      <c r="D411" s="225" t="s">
        <v>585</v>
      </c>
      <c r="E411" s="225">
        <v>84</v>
      </c>
      <c r="F411" s="225" t="s">
        <v>508</v>
      </c>
      <c r="G411" s="225">
        <v>4</v>
      </c>
      <c r="H411" s="225" t="s">
        <v>382</v>
      </c>
      <c r="I411" s="225" t="s">
        <v>586</v>
      </c>
      <c r="J411" s="226">
        <v>1509</v>
      </c>
      <c r="K411" s="226">
        <v>350000</v>
      </c>
      <c r="L411" s="226">
        <v>388557</v>
      </c>
      <c r="M411" s="226">
        <v>437797</v>
      </c>
      <c r="N411" s="227">
        <v>399697.3</v>
      </c>
    </row>
    <row r="412" spans="1:14">
      <c r="A412" s="225" t="s">
        <v>583</v>
      </c>
      <c r="B412" s="225" t="s">
        <v>584</v>
      </c>
      <c r="C412" s="225">
        <v>100</v>
      </c>
      <c r="D412" s="225" t="s">
        <v>585</v>
      </c>
      <c r="E412" s="225">
        <v>84</v>
      </c>
      <c r="F412" s="225" t="s">
        <v>508</v>
      </c>
      <c r="G412" s="225">
        <v>3</v>
      </c>
      <c r="H412" s="225" t="s">
        <v>383</v>
      </c>
      <c r="I412" s="225" t="s">
        <v>586</v>
      </c>
      <c r="J412" s="228">
        <v>718</v>
      </c>
      <c r="K412" s="226">
        <v>390060</v>
      </c>
      <c r="L412" s="226">
        <v>427393</v>
      </c>
      <c r="M412" s="226">
        <v>475875</v>
      </c>
      <c r="N412" s="227">
        <v>438442.3</v>
      </c>
    </row>
    <row r="413" spans="1:14">
      <c r="A413" s="225" t="s">
        <v>583</v>
      </c>
      <c r="B413" s="225" t="s">
        <v>584</v>
      </c>
      <c r="C413" s="225">
        <v>100</v>
      </c>
      <c r="D413" s="225" t="s">
        <v>585</v>
      </c>
      <c r="E413" s="225">
        <v>84</v>
      </c>
      <c r="F413" s="225" t="s">
        <v>508</v>
      </c>
      <c r="G413" s="225">
        <v>2</v>
      </c>
      <c r="H413" s="225" t="s">
        <v>352</v>
      </c>
      <c r="I413" s="225" t="s">
        <v>586</v>
      </c>
      <c r="J413" s="228">
        <v>519</v>
      </c>
      <c r="K413" s="226">
        <v>405622</v>
      </c>
      <c r="L413" s="226">
        <v>452105</v>
      </c>
      <c r="M413" s="226">
        <v>510000</v>
      </c>
      <c r="N413" s="227">
        <v>457379.4</v>
      </c>
    </row>
    <row r="414" spans="1:14">
      <c r="A414" s="225" t="s">
        <v>583</v>
      </c>
      <c r="B414" s="225" t="s">
        <v>584</v>
      </c>
      <c r="C414" s="225">
        <v>100</v>
      </c>
      <c r="D414" s="225" t="s">
        <v>585</v>
      </c>
      <c r="E414" s="225">
        <v>84</v>
      </c>
      <c r="F414" s="225" t="s">
        <v>508</v>
      </c>
      <c r="G414" s="225">
        <v>6</v>
      </c>
      <c r="H414" s="225" t="s">
        <v>385</v>
      </c>
      <c r="I414" s="225" t="s">
        <v>586</v>
      </c>
      <c r="J414" s="228">
        <v>120</v>
      </c>
      <c r="K414" s="226">
        <v>407560</v>
      </c>
      <c r="L414" s="226">
        <v>467888</v>
      </c>
      <c r="M414" s="226">
        <v>508832</v>
      </c>
      <c r="N414" s="227">
        <v>473278.4</v>
      </c>
    </row>
    <row r="415" spans="1:14">
      <c r="A415" s="225" t="s">
        <v>583</v>
      </c>
      <c r="B415" s="225" t="s">
        <v>584</v>
      </c>
      <c r="C415" s="225">
        <v>100</v>
      </c>
      <c r="D415" s="225" t="s">
        <v>585</v>
      </c>
      <c r="E415" s="225">
        <v>84</v>
      </c>
      <c r="F415" s="225" t="s">
        <v>508</v>
      </c>
      <c r="G415" s="225">
        <v>1</v>
      </c>
      <c r="H415" s="225" t="s">
        <v>384</v>
      </c>
      <c r="I415" s="225" t="s">
        <v>586</v>
      </c>
      <c r="J415" s="228">
        <v>53</v>
      </c>
      <c r="K415" s="226">
        <v>654619</v>
      </c>
      <c r="L415" s="226">
        <v>734542</v>
      </c>
      <c r="M415" s="226">
        <v>811836</v>
      </c>
      <c r="N415" s="227">
        <v>749086.9</v>
      </c>
    </row>
    <row r="416" spans="1:14">
      <c r="A416" s="225" t="s">
        <v>583</v>
      </c>
      <c r="B416" s="225" t="s">
        <v>584</v>
      </c>
      <c r="C416" s="225">
        <v>100</v>
      </c>
      <c r="D416" s="225" t="s">
        <v>585</v>
      </c>
      <c r="E416" s="225">
        <v>85</v>
      </c>
      <c r="F416" s="225" t="s">
        <v>433</v>
      </c>
      <c r="G416" s="225">
        <v>5</v>
      </c>
      <c r="H416" s="225" t="s">
        <v>349</v>
      </c>
      <c r="I416" s="225" t="s">
        <v>586</v>
      </c>
      <c r="J416" s="228">
        <v>3</v>
      </c>
      <c r="K416" s="228"/>
      <c r="L416" s="228"/>
      <c r="M416" s="228"/>
      <c r="N416" s="228"/>
    </row>
    <row r="417" spans="1:14">
      <c r="A417" s="225" t="s">
        <v>583</v>
      </c>
      <c r="B417" s="225" t="s">
        <v>584</v>
      </c>
      <c r="C417" s="225">
        <v>100</v>
      </c>
      <c r="D417" s="225" t="s">
        <v>585</v>
      </c>
      <c r="E417" s="225">
        <v>85</v>
      </c>
      <c r="F417" s="225" t="s">
        <v>433</v>
      </c>
      <c r="G417" s="225">
        <v>4</v>
      </c>
      <c r="H417" s="225" t="s">
        <v>382</v>
      </c>
      <c r="I417" s="225" t="s">
        <v>586</v>
      </c>
      <c r="J417" s="228">
        <v>73</v>
      </c>
      <c r="K417" s="226">
        <v>310653</v>
      </c>
      <c r="L417" s="226">
        <v>350150</v>
      </c>
      <c r="M417" s="226">
        <v>392853</v>
      </c>
      <c r="N417" s="227">
        <v>356507.3</v>
      </c>
    </row>
    <row r="418" spans="1:14">
      <c r="A418" s="225" t="s">
        <v>583</v>
      </c>
      <c r="B418" s="225" t="s">
        <v>584</v>
      </c>
      <c r="C418" s="225">
        <v>100</v>
      </c>
      <c r="D418" s="225" t="s">
        <v>585</v>
      </c>
      <c r="E418" s="225">
        <v>85</v>
      </c>
      <c r="F418" s="225" t="s">
        <v>433</v>
      </c>
      <c r="G418" s="225">
        <v>3</v>
      </c>
      <c r="H418" s="225" t="s">
        <v>383</v>
      </c>
      <c r="I418" s="225" t="s">
        <v>586</v>
      </c>
      <c r="J418" s="228">
        <v>38</v>
      </c>
      <c r="K418" s="226">
        <v>336491</v>
      </c>
      <c r="L418" s="226">
        <v>397526</v>
      </c>
      <c r="M418" s="226">
        <v>423514</v>
      </c>
      <c r="N418" s="227">
        <v>384692.9</v>
      </c>
    </row>
    <row r="419" spans="1:14">
      <c r="A419" s="225" t="s">
        <v>583</v>
      </c>
      <c r="B419" s="225" t="s">
        <v>584</v>
      </c>
      <c r="C419" s="225">
        <v>100</v>
      </c>
      <c r="D419" s="225" t="s">
        <v>585</v>
      </c>
      <c r="E419" s="225">
        <v>85</v>
      </c>
      <c r="F419" s="225" t="s">
        <v>433</v>
      </c>
      <c r="G419" s="225">
        <v>2</v>
      </c>
      <c r="H419" s="225" t="s">
        <v>352</v>
      </c>
      <c r="I419" s="225" t="s">
        <v>586</v>
      </c>
      <c r="J419" s="228">
        <v>57</v>
      </c>
      <c r="K419" s="226">
        <v>341512</v>
      </c>
      <c r="L419" s="226">
        <v>409800</v>
      </c>
      <c r="M419" s="226">
        <v>464403</v>
      </c>
      <c r="N419" s="227">
        <v>397745.5</v>
      </c>
    </row>
    <row r="420" spans="1:14">
      <c r="A420" s="225" t="s">
        <v>583</v>
      </c>
      <c r="B420" s="225" t="s">
        <v>584</v>
      </c>
      <c r="C420" s="225">
        <v>100</v>
      </c>
      <c r="D420" s="225" t="s">
        <v>585</v>
      </c>
      <c r="E420" s="225">
        <v>85</v>
      </c>
      <c r="F420" s="225" t="s">
        <v>433</v>
      </c>
      <c r="G420" s="225">
        <v>6</v>
      </c>
      <c r="H420" s="225" t="s">
        <v>385</v>
      </c>
      <c r="I420" s="225" t="s">
        <v>586</v>
      </c>
      <c r="J420" s="228">
        <v>14</v>
      </c>
      <c r="K420" s="226">
        <v>392084</v>
      </c>
      <c r="L420" s="226">
        <v>442250</v>
      </c>
      <c r="M420" s="226">
        <v>463141</v>
      </c>
      <c r="N420" s="227">
        <v>411371</v>
      </c>
    </row>
    <row r="421" spans="1:14">
      <c r="A421" s="225" t="s">
        <v>583</v>
      </c>
      <c r="B421" s="225" t="s">
        <v>584</v>
      </c>
      <c r="C421" s="225">
        <v>100</v>
      </c>
      <c r="D421" s="225" t="s">
        <v>585</v>
      </c>
      <c r="E421" s="225">
        <v>85</v>
      </c>
      <c r="F421" s="225" t="s">
        <v>433</v>
      </c>
      <c r="G421" s="225">
        <v>1</v>
      </c>
      <c r="H421" s="225" t="s">
        <v>384</v>
      </c>
      <c r="I421" s="225" t="s">
        <v>586</v>
      </c>
      <c r="J421" s="228">
        <v>3</v>
      </c>
      <c r="K421" s="228"/>
      <c r="L421" s="228"/>
      <c r="M421" s="228"/>
      <c r="N421" s="228"/>
    </row>
    <row r="422" spans="1:14">
      <c r="A422" s="225" t="s">
        <v>583</v>
      </c>
      <c r="B422" s="225" t="s">
        <v>584</v>
      </c>
      <c r="C422" s="225">
        <v>100</v>
      </c>
      <c r="D422" s="225" t="s">
        <v>585</v>
      </c>
      <c r="E422" s="225">
        <v>49</v>
      </c>
      <c r="F422" s="225" t="s">
        <v>148</v>
      </c>
      <c r="G422" s="225">
        <v>5</v>
      </c>
      <c r="H422" s="225" t="s">
        <v>349</v>
      </c>
      <c r="I422" s="225" t="s">
        <v>586</v>
      </c>
      <c r="J422" s="228">
        <v>50</v>
      </c>
      <c r="K422" s="226">
        <v>199786</v>
      </c>
      <c r="L422" s="226">
        <v>333000</v>
      </c>
      <c r="M422" s="226">
        <v>446430</v>
      </c>
      <c r="N422" s="227">
        <v>337945.9</v>
      </c>
    </row>
    <row r="423" spans="1:14">
      <c r="A423" s="225" t="s">
        <v>583</v>
      </c>
      <c r="B423" s="225" t="s">
        <v>584</v>
      </c>
      <c r="C423" s="225">
        <v>100</v>
      </c>
      <c r="D423" s="225" t="s">
        <v>585</v>
      </c>
      <c r="E423" s="225">
        <v>49</v>
      </c>
      <c r="F423" s="225" t="s">
        <v>148</v>
      </c>
      <c r="G423" s="225">
        <v>4</v>
      </c>
      <c r="H423" s="225" t="s">
        <v>382</v>
      </c>
      <c r="I423" s="225" t="s">
        <v>586</v>
      </c>
      <c r="J423" s="228">
        <v>453</v>
      </c>
      <c r="K423" s="226">
        <v>341089</v>
      </c>
      <c r="L423" s="226">
        <v>393734</v>
      </c>
      <c r="M423" s="226">
        <v>456783</v>
      </c>
      <c r="N423" s="227">
        <v>401067.1</v>
      </c>
    </row>
    <row r="424" spans="1:14">
      <c r="A424" s="225" t="s">
        <v>583</v>
      </c>
      <c r="B424" s="225" t="s">
        <v>584</v>
      </c>
      <c r="C424" s="225">
        <v>100</v>
      </c>
      <c r="D424" s="225" t="s">
        <v>585</v>
      </c>
      <c r="E424" s="225">
        <v>49</v>
      </c>
      <c r="F424" s="225" t="s">
        <v>148</v>
      </c>
      <c r="G424" s="225">
        <v>3</v>
      </c>
      <c r="H424" s="225" t="s">
        <v>383</v>
      </c>
      <c r="I424" s="225" t="s">
        <v>586</v>
      </c>
      <c r="J424" s="228">
        <v>248</v>
      </c>
      <c r="K424" s="226">
        <v>418899</v>
      </c>
      <c r="L424" s="226">
        <v>463107</v>
      </c>
      <c r="M424" s="226">
        <v>529368</v>
      </c>
      <c r="N424" s="227">
        <v>475807.5</v>
      </c>
    </row>
    <row r="425" spans="1:14">
      <c r="A425" s="225" t="s">
        <v>583</v>
      </c>
      <c r="B425" s="225" t="s">
        <v>584</v>
      </c>
      <c r="C425" s="225">
        <v>100</v>
      </c>
      <c r="D425" s="225" t="s">
        <v>585</v>
      </c>
      <c r="E425" s="225">
        <v>49</v>
      </c>
      <c r="F425" s="225" t="s">
        <v>148</v>
      </c>
      <c r="G425" s="225">
        <v>2</v>
      </c>
      <c r="H425" s="225" t="s">
        <v>352</v>
      </c>
      <c r="I425" s="225" t="s">
        <v>586</v>
      </c>
      <c r="J425" s="228">
        <v>192</v>
      </c>
      <c r="K425" s="226">
        <v>468178</v>
      </c>
      <c r="L425" s="226">
        <v>524518</v>
      </c>
      <c r="M425" s="226">
        <v>604081</v>
      </c>
      <c r="N425" s="227">
        <v>535565.6</v>
      </c>
    </row>
    <row r="426" spans="1:14">
      <c r="A426" s="225" t="s">
        <v>583</v>
      </c>
      <c r="B426" s="225" t="s">
        <v>584</v>
      </c>
      <c r="C426" s="225">
        <v>100</v>
      </c>
      <c r="D426" s="225" t="s">
        <v>585</v>
      </c>
      <c r="E426" s="225">
        <v>49</v>
      </c>
      <c r="F426" s="225" t="s">
        <v>148</v>
      </c>
      <c r="G426" s="225">
        <v>6</v>
      </c>
      <c r="H426" s="225" t="s">
        <v>385</v>
      </c>
      <c r="I426" s="225" t="s">
        <v>586</v>
      </c>
      <c r="J426" s="228">
        <v>16</v>
      </c>
      <c r="K426" s="226">
        <v>477338</v>
      </c>
      <c r="L426" s="226">
        <v>516249</v>
      </c>
      <c r="M426" s="226">
        <v>566951</v>
      </c>
      <c r="N426" s="227">
        <v>527319.80000000005</v>
      </c>
    </row>
    <row r="427" spans="1:14">
      <c r="A427" s="225" t="s">
        <v>583</v>
      </c>
      <c r="B427" s="225" t="s">
        <v>584</v>
      </c>
      <c r="C427" s="225">
        <v>100</v>
      </c>
      <c r="D427" s="225" t="s">
        <v>585</v>
      </c>
      <c r="E427" s="225">
        <v>49</v>
      </c>
      <c r="F427" s="225" t="s">
        <v>148</v>
      </c>
      <c r="G427" s="225">
        <v>1</v>
      </c>
      <c r="H427" s="225" t="s">
        <v>384</v>
      </c>
      <c r="I427" s="225" t="s">
        <v>586</v>
      </c>
      <c r="J427" s="228">
        <v>67</v>
      </c>
      <c r="K427" s="226">
        <v>752631</v>
      </c>
      <c r="L427" s="226">
        <v>813490</v>
      </c>
      <c r="M427" s="226">
        <v>941384</v>
      </c>
      <c r="N427" s="227">
        <v>859930.1</v>
      </c>
    </row>
    <row r="428" spans="1:14">
      <c r="A428" s="225" t="s">
        <v>583</v>
      </c>
      <c r="B428" s="225" t="s">
        <v>584</v>
      </c>
      <c r="C428" s="225">
        <v>100</v>
      </c>
      <c r="D428" s="225" t="s">
        <v>585</v>
      </c>
      <c r="E428" s="225">
        <v>63</v>
      </c>
      <c r="F428" s="225" t="s">
        <v>539</v>
      </c>
      <c r="G428" s="225">
        <v>5</v>
      </c>
      <c r="H428" s="225" t="s">
        <v>349</v>
      </c>
      <c r="I428" s="225" t="s">
        <v>586</v>
      </c>
      <c r="J428" s="228">
        <v>18</v>
      </c>
      <c r="K428" s="226">
        <v>88313</v>
      </c>
      <c r="L428" s="226">
        <v>125000</v>
      </c>
      <c r="M428" s="226">
        <v>314341</v>
      </c>
      <c r="N428" s="227">
        <v>193209.3</v>
      </c>
    </row>
    <row r="429" spans="1:14">
      <c r="A429" s="225" t="s">
        <v>583</v>
      </c>
      <c r="B429" s="225" t="s">
        <v>584</v>
      </c>
      <c r="C429" s="225">
        <v>100</v>
      </c>
      <c r="D429" s="225" t="s">
        <v>585</v>
      </c>
      <c r="E429" s="225">
        <v>63</v>
      </c>
      <c r="F429" s="225" t="s">
        <v>539</v>
      </c>
      <c r="G429" s="225">
        <v>4</v>
      </c>
      <c r="H429" s="225" t="s">
        <v>382</v>
      </c>
      <c r="I429" s="225" t="s">
        <v>586</v>
      </c>
      <c r="J429" s="228">
        <v>304</v>
      </c>
      <c r="K429" s="226">
        <v>347200</v>
      </c>
      <c r="L429" s="226">
        <v>394459</v>
      </c>
      <c r="M429" s="226">
        <v>450135</v>
      </c>
      <c r="N429" s="227">
        <v>392119.3</v>
      </c>
    </row>
    <row r="430" spans="1:14">
      <c r="A430" s="225" t="s">
        <v>583</v>
      </c>
      <c r="B430" s="225" t="s">
        <v>584</v>
      </c>
      <c r="C430" s="225">
        <v>100</v>
      </c>
      <c r="D430" s="225" t="s">
        <v>585</v>
      </c>
      <c r="E430" s="225">
        <v>63</v>
      </c>
      <c r="F430" s="225" t="s">
        <v>539</v>
      </c>
      <c r="G430" s="225">
        <v>3</v>
      </c>
      <c r="H430" s="225" t="s">
        <v>383</v>
      </c>
      <c r="I430" s="225" t="s">
        <v>586</v>
      </c>
      <c r="J430" s="228">
        <v>133</v>
      </c>
      <c r="K430" s="226">
        <v>367221</v>
      </c>
      <c r="L430" s="226">
        <v>432016</v>
      </c>
      <c r="M430" s="226">
        <v>497927</v>
      </c>
      <c r="N430" s="227">
        <v>421114.4</v>
      </c>
    </row>
    <row r="431" spans="1:14">
      <c r="A431" s="225" t="s">
        <v>583</v>
      </c>
      <c r="B431" s="225" t="s">
        <v>584</v>
      </c>
      <c r="C431" s="225">
        <v>100</v>
      </c>
      <c r="D431" s="225" t="s">
        <v>585</v>
      </c>
      <c r="E431" s="225">
        <v>63</v>
      </c>
      <c r="F431" s="225" t="s">
        <v>539</v>
      </c>
      <c r="G431" s="225">
        <v>2</v>
      </c>
      <c r="H431" s="225" t="s">
        <v>352</v>
      </c>
      <c r="I431" s="225" t="s">
        <v>586</v>
      </c>
      <c r="J431" s="228">
        <v>95</v>
      </c>
      <c r="K431" s="226">
        <v>355000</v>
      </c>
      <c r="L431" s="226">
        <v>428023</v>
      </c>
      <c r="M431" s="226">
        <v>485673</v>
      </c>
      <c r="N431" s="227">
        <v>407495.7</v>
      </c>
    </row>
    <row r="432" spans="1:14">
      <c r="A432" s="225" t="s">
        <v>583</v>
      </c>
      <c r="B432" s="225" t="s">
        <v>584</v>
      </c>
      <c r="C432" s="225">
        <v>100</v>
      </c>
      <c r="D432" s="225" t="s">
        <v>585</v>
      </c>
      <c r="E432" s="225">
        <v>63</v>
      </c>
      <c r="F432" s="225" t="s">
        <v>539</v>
      </c>
      <c r="G432" s="225">
        <v>6</v>
      </c>
      <c r="H432" s="225" t="s">
        <v>385</v>
      </c>
      <c r="I432" s="225" t="s">
        <v>586</v>
      </c>
      <c r="J432" s="228">
        <v>19</v>
      </c>
      <c r="K432" s="226">
        <v>412144</v>
      </c>
      <c r="L432" s="226">
        <v>469999</v>
      </c>
      <c r="M432" s="226">
        <v>514409</v>
      </c>
      <c r="N432" s="227">
        <v>491970</v>
      </c>
    </row>
    <row r="433" spans="1:14">
      <c r="A433" s="225" t="s">
        <v>583</v>
      </c>
      <c r="B433" s="225" t="s">
        <v>584</v>
      </c>
      <c r="C433" s="225">
        <v>100</v>
      </c>
      <c r="D433" s="225" t="s">
        <v>585</v>
      </c>
      <c r="E433" s="225">
        <v>63</v>
      </c>
      <c r="F433" s="225" t="s">
        <v>539</v>
      </c>
      <c r="G433" s="225">
        <v>1</v>
      </c>
      <c r="H433" s="225" t="s">
        <v>384</v>
      </c>
      <c r="I433" s="225" t="s">
        <v>586</v>
      </c>
      <c r="J433" s="228">
        <v>16</v>
      </c>
      <c r="K433" s="226">
        <v>479162</v>
      </c>
      <c r="L433" s="226">
        <v>670757</v>
      </c>
      <c r="M433" s="226">
        <v>818377</v>
      </c>
      <c r="N433" s="227">
        <v>687169.6</v>
      </c>
    </row>
    <row r="434" spans="1:14">
      <c r="A434" s="225" t="s">
        <v>583</v>
      </c>
      <c r="B434" s="225" t="s">
        <v>584</v>
      </c>
      <c r="C434" s="225">
        <v>100</v>
      </c>
      <c r="D434" s="225" t="s">
        <v>585</v>
      </c>
      <c r="E434" s="225">
        <v>-9</v>
      </c>
      <c r="F434" s="225" t="s">
        <v>566</v>
      </c>
      <c r="G434" s="225">
        <v>5</v>
      </c>
      <c r="H434" s="225" t="s">
        <v>349</v>
      </c>
      <c r="I434" s="225" t="s">
        <v>586</v>
      </c>
      <c r="J434" s="228">
        <v>357</v>
      </c>
      <c r="K434" s="226">
        <v>85000</v>
      </c>
      <c r="L434" s="226">
        <v>251500</v>
      </c>
      <c r="M434" s="226">
        <v>413416</v>
      </c>
      <c r="N434" s="227">
        <v>277491.3</v>
      </c>
    </row>
    <row r="435" spans="1:14">
      <c r="A435" s="225" t="s">
        <v>583</v>
      </c>
      <c r="B435" s="225" t="s">
        <v>584</v>
      </c>
      <c r="C435" s="225">
        <v>100</v>
      </c>
      <c r="D435" s="225" t="s">
        <v>585</v>
      </c>
      <c r="E435" s="225">
        <v>-9</v>
      </c>
      <c r="F435" s="225" t="s">
        <v>566</v>
      </c>
      <c r="G435" s="225">
        <v>4</v>
      </c>
      <c r="H435" s="225" t="s">
        <v>382</v>
      </c>
      <c r="I435" s="225" t="s">
        <v>586</v>
      </c>
      <c r="J435" s="226">
        <v>5046</v>
      </c>
      <c r="K435" s="226">
        <v>336261</v>
      </c>
      <c r="L435" s="226">
        <v>412565</v>
      </c>
      <c r="M435" s="226">
        <v>543652</v>
      </c>
      <c r="N435" s="227">
        <v>467945.1</v>
      </c>
    </row>
    <row r="436" spans="1:14">
      <c r="A436" s="225" t="s">
        <v>583</v>
      </c>
      <c r="B436" s="225" t="s">
        <v>584</v>
      </c>
      <c r="C436" s="225">
        <v>100</v>
      </c>
      <c r="D436" s="225" t="s">
        <v>585</v>
      </c>
      <c r="E436" s="225">
        <v>-9</v>
      </c>
      <c r="F436" s="225" t="s">
        <v>566</v>
      </c>
      <c r="G436" s="225">
        <v>3</v>
      </c>
      <c r="H436" s="225" t="s">
        <v>383</v>
      </c>
      <c r="I436" s="225" t="s">
        <v>586</v>
      </c>
      <c r="J436" s="226">
        <v>2888</v>
      </c>
      <c r="K436" s="226">
        <v>406388</v>
      </c>
      <c r="L436" s="226">
        <v>507716</v>
      </c>
      <c r="M436" s="226">
        <v>673835</v>
      </c>
      <c r="N436" s="227">
        <v>581500.19999999995</v>
      </c>
    </row>
    <row r="437" spans="1:14">
      <c r="A437" s="225" t="s">
        <v>583</v>
      </c>
      <c r="B437" s="225" t="s">
        <v>584</v>
      </c>
      <c r="C437" s="225">
        <v>100</v>
      </c>
      <c r="D437" s="225" t="s">
        <v>585</v>
      </c>
      <c r="E437" s="225">
        <v>-9</v>
      </c>
      <c r="F437" s="225" t="s">
        <v>566</v>
      </c>
      <c r="G437" s="225">
        <v>2</v>
      </c>
      <c r="H437" s="225" t="s">
        <v>352</v>
      </c>
      <c r="I437" s="225" t="s">
        <v>586</v>
      </c>
      <c r="J437" s="226">
        <v>2655</v>
      </c>
      <c r="K437" s="226">
        <v>431210</v>
      </c>
      <c r="L437" s="226">
        <v>573222</v>
      </c>
      <c r="M437" s="226">
        <v>757961</v>
      </c>
      <c r="N437" s="227">
        <v>647089.5</v>
      </c>
    </row>
    <row r="438" spans="1:14">
      <c r="A438" s="225" t="s">
        <v>583</v>
      </c>
      <c r="B438" s="225" t="s">
        <v>584</v>
      </c>
      <c r="C438" s="225">
        <v>100</v>
      </c>
      <c r="D438" s="225" t="s">
        <v>585</v>
      </c>
      <c r="E438" s="225">
        <v>-9</v>
      </c>
      <c r="F438" s="225" t="s">
        <v>566</v>
      </c>
      <c r="G438" s="225">
        <v>6</v>
      </c>
      <c r="H438" s="225" t="s">
        <v>385</v>
      </c>
      <c r="I438" s="225" t="s">
        <v>586</v>
      </c>
      <c r="J438" s="228">
        <v>603</v>
      </c>
      <c r="K438" s="226">
        <v>550000</v>
      </c>
      <c r="L438" s="226">
        <v>668000</v>
      </c>
      <c r="M438" s="226">
        <v>883253</v>
      </c>
      <c r="N438" s="227">
        <v>786412.3</v>
      </c>
    </row>
    <row r="439" spans="1:14">
      <c r="A439" s="225" t="s">
        <v>583</v>
      </c>
      <c r="B439" s="225" t="s">
        <v>584</v>
      </c>
      <c r="C439" s="225">
        <v>100</v>
      </c>
      <c r="D439" s="225" t="s">
        <v>585</v>
      </c>
      <c r="E439" s="225">
        <v>-9</v>
      </c>
      <c r="F439" s="225" t="s">
        <v>566</v>
      </c>
      <c r="G439" s="225">
        <v>1</v>
      </c>
      <c r="H439" s="225" t="s">
        <v>384</v>
      </c>
      <c r="I439" s="225" t="s">
        <v>586</v>
      </c>
      <c r="J439" s="228">
        <v>347</v>
      </c>
      <c r="K439" s="226">
        <v>775797</v>
      </c>
      <c r="L439" s="226">
        <v>953504</v>
      </c>
      <c r="M439" s="226">
        <v>1243437</v>
      </c>
      <c r="N439" s="227">
        <v>1100307.3999999999</v>
      </c>
    </row>
    <row r="440" spans="1:14">
      <c r="A440" s="225" t="s">
        <v>583</v>
      </c>
      <c r="B440" s="225" t="s">
        <v>584</v>
      </c>
      <c r="C440" s="225">
        <v>100</v>
      </c>
      <c r="D440" s="225" t="s">
        <v>585</v>
      </c>
      <c r="E440" s="225">
        <v>53</v>
      </c>
      <c r="F440" s="225" t="s">
        <v>518</v>
      </c>
      <c r="G440" s="225">
        <v>5</v>
      </c>
      <c r="H440" s="225" t="s">
        <v>349</v>
      </c>
      <c r="I440" s="225" t="s">
        <v>586</v>
      </c>
      <c r="J440" s="228">
        <v>39</v>
      </c>
      <c r="K440" s="226">
        <v>134643</v>
      </c>
      <c r="L440" s="226">
        <v>250185</v>
      </c>
      <c r="M440" s="226">
        <v>401099</v>
      </c>
      <c r="N440" s="227">
        <v>276660.3</v>
      </c>
    </row>
    <row r="441" spans="1:14">
      <c r="A441" s="225" t="s">
        <v>583</v>
      </c>
      <c r="B441" s="225" t="s">
        <v>584</v>
      </c>
      <c r="C441" s="225">
        <v>100</v>
      </c>
      <c r="D441" s="225" t="s">
        <v>585</v>
      </c>
      <c r="E441" s="225">
        <v>53</v>
      </c>
      <c r="F441" s="225" t="s">
        <v>518</v>
      </c>
      <c r="G441" s="225">
        <v>4</v>
      </c>
      <c r="H441" s="225" t="s">
        <v>382</v>
      </c>
      <c r="I441" s="225" t="s">
        <v>586</v>
      </c>
      <c r="J441" s="228">
        <v>756</v>
      </c>
      <c r="K441" s="226">
        <v>309799</v>
      </c>
      <c r="L441" s="226">
        <v>357056</v>
      </c>
      <c r="M441" s="226">
        <v>449214</v>
      </c>
      <c r="N441" s="227">
        <v>390077.6</v>
      </c>
    </row>
    <row r="442" spans="1:14">
      <c r="A442" s="225" t="s">
        <v>583</v>
      </c>
      <c r="B442" s="225" t="s">
        <v>584</v>
      </c>
      <c r="C442" s="225">
        <v>100</v>
      </c>
      <c r="D442" s="225" t="s">
        <v>585</v>
      </c>
      <c r="E442" s="225">
        <v>53</v>
      </c>
      <c r="F442" s="225" t="s">
        <v>518</v>
      </c>
      <c r="G442" s="225">
        <v>3</v>
      </c>
      <c r="H442" s="225" t="s">
        <v>383</v>
      </c>
      <c r="I442" s="225" t="s">
        <v>586</v>
      </c>
      <c r="J442" s="228">
        <v>365</v>
      </c>
      <c r="K442" s="226">
        <v>365202</v>
      </c>
      <c r="L442" s="226">
        <v>416334</v>
      </c>
      <c r="M442" s="226">
        <v>500232</v>
      </c>
      <c r="N442" s="227">
        <v>441141.8</v>
      </c>
    </row>
    <row r="443" spans="1:14">
      <c r="A443" s="225" t="s">
        <v>583</v>
      </c>
      <c r="B443" s="225" t="s">
        <v>584</v>
      </c>
      <c r="C443" s="225">
        <v>100</v>
      </c>
      <c r="D443" s="225" t="s">
        <v>585</v>
      </c>
      <c r="E443" s="225">
        <v>53</v>
      </c>
      <c r="F443" s="225" t="s">
        <v>518</v>
      </c>
      <c r="G443" s="225">
        <v>2</v>
      </c>
      <c r="H443" s="225" t="s">
        <v>352</v>
      </c>
      <c r="I443" s="225" t="s">
        <v>586</v>
      </c>
      <c r="J443" s="228">
        <v>333</v>
      </c>
      <c r="K443" s="226">
        <v>378138</v>
      </c>
      <c r="L443" s="226">
        <v>474000</v>
      </c>
      <c r="M443" s="226">
        <v>587045</v>
      </c>
      <c r="N443" s="227">
        <v>498491.1</v>
      </c>
    </row>
    <row r="444" spans="1:14">
      <c r="A444" s="225" t="s">
        <v>583</v>
      </c>
      <c r="B444" s="225" t="s">
        <v>584</v>
      </c>
      <c r="C444" s="225">
        <v>100</v>
      </c>
      <c r="D444" s="225" t="s">
        <v>585</v>
      </c>
      <c r="E444" s="225">
        <v>53</v>
      </c>
      <c r="F444" s="225" t="s">
        <v>518</v>
      </c>
      <c r="G444" s="225">
        <v>6</v>
      </c>
      <c r="H444" s="225" t="s">
        <v>385</v>
      </c>
      <c r="I444" s="225" t="s">
        <v>586</v>
      </c>
      <c r="J444" s="228">
        <v>55</v>
      </c>
      <c r="K444" s="226">
        <v>482069</v>
      </c>
      <c r="L444" s="226">
        <v>576250</v>
      </c>
      <c r="M444" s="226">
        <v>661528</v>
      </c>
      <c r="N444" s="227">
        <v>583560.6</v>
      </c>
    </row>
    <row r="445" spans="1:14">
      <c r="A445" s="225" t="s">
        <v>583</v>
      </c>
      <c r="B445" s="225" t="s">
        <v>584</v>
      </c>
      <c r="C445" s="225">
        <v>100</v>
      </c>
      <c r="D445" s="225" t="s">
        <v>585</v>
      </c>
      <c r="E445" s="225">
        <v>53</v>
      </c>
      <c r="F445" s="225" t="s">
        <v>518</v>
      </c>
      <c r="G445" s="225">
        <v>1</v>
      </c>
      <c r="H445" s="225" t="s">
        <v>384</v>
      </c>
      <c r="I445" s="225" t="s">
        <v>586</v>
      </c>
      <c r="J445" s="228">
        <v>39</v>
      </c>
      <c r="K445" s="226">
        <v>638696</v>
      </c>
      <c r="L445" s="226">
        <v>861227</v>
      </c>
      <c r="M445" s="226">
        <v>1018800</v>
      </c>
      <c r="N445" s="227">
        <v>871454.8</v>
      </c>
    </row>
    <row r="446" spans="1:14">
      <c r="A446" s="225" t="s">
        <v>583</v>
      </c>
      <c r="B446" s="225" t="s">
        <v>584</v>
      </c>
      <c r="C446" s="225">
        <v>100</v>
      </c>
      <c r="D446" s="225" t="s">
        <v>585</v>
      </c>
      <c r="E446" s="225">
        <v>54</v>
      </c>
      <c r="F446" s="225" t="s">
        <v>179</v>
      </c>
      <c r="G446" s="225">
        <v>5</v>
      </c>
      <c r="H446" s="225" t="s">
        <v>349</v>
      </c>
      <c r="I446" s="225" t="s">
        <v>586</v>
      </c>
      <c r="J446" s="228">
        <v>30</v>
      </c>
      <c r="K446" s="226">
        <v>75500</v>
      </c>
      <c r="L446" s="226">
        <v>110000</v>
      </c>
      <c r="M446" s="226">
        <v>142248</v>
      </c>
      <c r="N446" s="227">
        <v>162020</v>
      </c>
    </row>
    <row r="447" spans="1:14">
      <c r="A447" s="225" t="s">
        <v>583</v>
      </c>
      <c r="B447" s="225" t="s">
        <v>584</v>
      </c>
      <c r="C447" s="225">
        <v>100</v>
      </c>
      <c r="D447" s="225" t="s">
        <v>585</v>
      </c>
      <c r="E447" s="225">
        <v>54</v>
      </c>
      <c r="F447" s="225" t="s">
        <v>179</v>
      </c>
      <c r="G447" s="225">
        <v>4</v>
      </c>
      <c r="H447" s="225" t="s">
        <v>382</v>
      </c>
      <c r="I447" s="225" t="s">
        <v>586</v>
      </c>
      <c r="J447" s="228">
        <v>513</v>
      </c>
      <c r="K447" s="226">
        <v>497224</v>
      </c>
      <c r="L447" s="226">
        <v>600500</v>
      </c>
      <c r="M447" s="226">
        <v>767464</v>
      </c>
      <c r="N447" s="227">
        <v>648686.69999999995</v>
      </c>
    </row>
    <row r="448" spans="1:14">
      <c r="A448" s="225" t="s">
        <v>583</v>
      </c>
      <c r="B448" s="225" t="s">
        <v>584</v>
      </c>
      <c r="C448" s="225">
        <v>100</v>
      </c>
      <c r="D448" s="225" t="s">
        <v>585</v>
      </c>
      <c r="E448" s="225">
        <v>54</v>
      </c>
      <c r="F448" s="225" t="s">
        <v>179</v>
      </c>
      <c r="G448" s="225">
        <v>3</v>
      </c>
      <c r="H448" s="225" t="s">
        <v>383</v>
      </c>
      <c r="I448" s="225" t="s">
        <v>586</v>
      </c>
      <c r="J448" s="228">
        <v>287</v>
      </c>
      <c r="K448" s="226">
        <v>574800</v>
      </c>
      <c r="L448" s="226">
        <v>706156</v>
      </c>
      <c r="M448" s="226">
        <v>925962</v>
      </c>
      <c r="N448" s="227">
        <v>795135.8</v>
      </c>
    </row>
    <row r="449" spans="1:14">
      <c r="A449" s="225" t="s">
        <v>583</v>
      </c>
      <c r="B449" s="225" t="s">
        <v>584</v>
      </c>
      <c r="C449" s="225">
        <v>100</v>
      </c>
      <c r="D449" s="225" t="s">
        <v>585</v>
      </c>
      <c r="E449" s="225">
        <v>54</v>
      </c>
      <c r="F449" s="225" t="s">
        <v>179</v>
      </c>
      <c r="G449" s="225">
        <v>2</v>
      </c>
      <c r="H449" s="225" t="s">
        <v>352</v>
      </c>
      <c r="I449" s="225" t="s">
        <v>586</v>
      </c>
      <c r="J449" s="228">
        <v>369</v>
      </c>
      <c r="K449" s="226">
        <v>590459</v>
      </c>
      <c r="L449" s="226">
        <v>784827</v>
      </c>
      <c r="M449" s="226">
        <v>1041841</v>
      </c>
      <c r="N449" s="227">
        <v>862911</v>
      </c>
    </row>
    <row r="450" spans="1:14">
      <c r="A450" s="225" t="s">
        <v>583</v>
      </c>
      <c r="B450" s="225" t="s">
        <v>584</v>
      </c>
      <c r="C450" s="225">
        <v>100</v>
      </c>
      <c r="D450" s="225" t="s">
        <v>585</v>
      </c>
      <c r="E450" s="225">
        <v>54</v>
      </c>
      <c r="F450" s="225" t="s">
        <v>179</v>
      </c>
      <c r="G450" s="225">
        <v>6</v>
      </c>
      <c r="H450" s="225" t="s">
        <v>385</v>
      </c>
      <c r="I450" s="225" t="s">
        <v>586</v>
      </c>
      <c r="J450" s="228">
        <v>46</v>
      </c>
      <c r="K450" s="226">
        <v>635170</v>
      </c>
      <c r="L450" s="226">
        <v>827845</v>
      </c>
      <c r="M450" s="226">
        <v>1022455</v>
      </c>
      <c r="N450" s="227">
        <v>987472.8</v>
      </c>
    </row>
    <row r="451" spans="1:14">
      <c r="A451" s="225" t="s">
        <v>583</v>
      </c>
      <c r="B451" s="225" t="s">
        <v>584</v>
      </c>
      <c r="C451" s="225">
        <v>100</v>
      </c>
      <c r="D451" s="225" t="s">
        <v>585</v>
      </c>
      <c r="E451" s="225">
        <v>54</v>
      </c>
      <c r="F451" s="225" t="s">
        <v>179</v>
      </c>
      <c r="G451" s="225">
        <v>1</v>
      </c>
      <c r="H451" s="225" t="s">
        <v>384</v>
      </c>
      <c r="I451" s="225" t="s">
        <v>586</v>
      </c>
      <c r="J451" s="228">
        <v>73</v>
      </c>
      <c r="K451" s="226">
        <v>969175</v>
      </c>
      <c r="L451" s="226">
        <v>1177052</v>
      </c>
      <c r="M451" s="226">
        <v>1514466</v>
      </c>
      <c r="N451" s="227">
        <v>1316727.8</v>
      </c>
    </row>
    <row r="452" spans="1:14">
      <c r="A452" s="225" t="s">
        <v>583</v>
      </c>
      <c r="B452" s="225" t="s">
        <v>584</v>
      </c>
      <c r="C452" s="225">
        <v>100</v>
      </c>
      <c r="D452" s="225" t="s">
        <v>585</v>
      </c>
      <c r="E452" s="225">
        <v>-16</v>
      </c>
      <c r="F452" s="225" t="s">
        <v>536</v>
      </c>
      <c r="G452" s="225">
        <v>5</v>
      </c>
      <c r="H452" s="225" t="s">
        <v>349</v>
      </c>
      <c r="I452" s="225" t="s">
        <v>586</v>
      </c>
      <c r="J452" s="228">
        <v>95</v>
      </c>
      <c r="K452" s="226">
        <v>71724</v>
      </c>
      <c r="L452" s="226">
        <v>288491</v>
      </c>
      <c r="M452" s="226">
        <v>475000</v>
      </c>
      <c r="N452" s="227">
        <v>325942.8</v>
      </c>
    </row>
    <row r="453" spans="1:14">
      <c r="A453" s="225" t="s">
        <v>583</v>
      </c>
      <c r="B453" s="225" t="s">
        <v>584</v>
      </c>
      <c r="C453" s="225">
        <v>100</v>
      </c>
      <c r="D453" s="225" t="s">
        <v>585</v>
      </c>
      <c r="E453" s="225">
        <v>-16</v>
      </c>
      <c r="F453" s="225" t="s">
        <v>536</v>
      </c>
      <c r="G453" s="225">
        <v>4</v>
      </c>
      <c r="H453" s="225" t="s">
        <v>382</v>
      </c>
      <c r="I453" s="225" t="s">
        <v>586</v>
      </c>
      <c r="J453" s="226">
        <v>1161</v>
      </c>
      <c r="K453" s="226">
        <v>391424</v>
      </c>
      <c r="L453" s="226">
        <v>489167</v>
      </c>
      <c r="M453" s="226">
        <v>646033</v>
      </c>
      <c r="N453" s="227">
        <v>543111.69999999995</v>
      </c>
    </row>
    <row r="454" spans="1:14">
      <c r="A454" s="225" t="s">
        <v>583</v>
      </c>
      <c r="B454" s="225" t="s">
        <v>584</v>
      </c>
      <c r="C454" s="225">
        <v>100</v>
      </c>
      <c r="D454" s="225" t="s">
        <v>585</v>
      </c>
      <c r="E454" s="225">
        <v>-16</v>
      </c>
      <c r="F454" s="225" t="s">
        <v>536</v>
      </c>
      <c r="G454" s="225">
        <v>3</v>
      </c>
      <c r="H454" s="225" t="s">
        <v>383</v>
      </c>
      <c r="I454" s="225" t="s">
        <v>586</v>
      </c>
      <c r="J454" s="228">
        <v>631</v>
      </c>
      <c r="K454" s="226">
        <v>467300</v>
      </c>
      <c r="L454" s="226">
        <v>596491</v>
      </c>
      <c r="M454" s="226">
        <v>777081</v>
      </c>
      <c r="N454" s="227">
        <v>650398.9</v>
      </c>
    </row>
    <row r="455" spans="1:14">
      <c r="A455" s="225" t="s">
        <v>583</v>
      </c>
      <c r="B455" s="225" t="s">
        <v>584</v>
      </c>
      <c r="C455" s="225">
        <v>100</v>
      </c>
      <c r="D455" s="225" t="s">
        <v>585</v>
      </c>
      <c r="E455" s="225">
        <v>-16</v>
      </c>
      <c r="F455" s="225" t="s">
        <v>536</v>
      </c>
      <c r="G455" s="225">
        <v>2</v>
      </c>
      <c r="H455" s="225" t="s">
        <v>352</v>
      </c>
      <c r="I455" s="225" t="s">
        <v>586</v>
      </c>
      <c r="J455" s="228">
        <v>464</v>
      </c>
      <c r="K455" s="226">
        <v>479138</v>
      </c>
      <c r="L455" s="226">
        <v>628599</v>
      </c>
      <c r="M455" s="226">
        <v>771589</v>
      </c>
      <c r="N455" s="227">
        <v>681038.7</v>
      </c>
    </row>
    <row r="456" spans="1:14">
      <c r="A456" s="225" t="s">
        <v>583</v>
      </c>
      <c r="B456" s="225" t="s">
        <v>584</v>
      </c>
      <c r="C456" s="225">
        <v>100</v>
      </c>
      <c r="D456" s="225" t="s">
        <v>585</v>
      </c>
      <c r="E456" s="225">
        <v>-16</v>
      </c>
      <c r="F456" s="225" t="s">
        <v>536</v>
      </c>
      <c r="G456" s="225">
        <v>6</v>
      </c>
      <c r="H456" s="225" t="s">
        <v>385</v>
      </c>
      <c r="I456" s="225" t="s">
        <v>586</v>
      </c>
      <c r="J456" s="228">
        <v>90</v>
      </c>
      <c r="K456" s="226">
        <v>525000</v>
      </c>
      <c r="L456" s="226">
        <v>668866</v>
      </c>
      <c r="M456" s="226">
        <v>934700</v>
      </c>
      <c r="N456" s="227">
        <v>884669.8</v>
      </c>
    </row>
    <row r="457" spans="1:14">
      <c r="A457" s="225" t="s">
        <v>583</v>
      </c>
      <c r="B457" s="225" t="s">
        <v>584</v>
      </c>
      <c r="C457" s="225">
        <v>100</v>
      </c>
      <c r="D457" s="225" t="s">
        <v>585</v>
      </c>
      <c r="E457" s="225">
        <v>-16</v>
      </c>
      <c r="F457" s="225" t="s">
        <v>536</v>
      </c>
      <c r="G457" s="225">
        <v>1</v>
      </c>
      <c r="H457" s="225" t="s">
        <v>384</v>
      </c>
      <c r="I457" s="225" t="s">
        <v>586</v>
      </c>
      <c r="J457" s="228">
        <v>81</v>
      </c>
      <c r="K457" s="226">
        <v>809000</v>
      </c>
      <c r="L457" s="226">
        <v>959399</v>
      </c>
      <c r="M457" s="226">
        <v>1174025</v>
      </c>
      <c r="N457" s="227">
        <v>1029468.7</v>
      </c>
    </row>
    <row r="458" spans="1:14">
      <c r="A458" s="225" t="s">
        <v>583</v>
      </c>
      <c r="B458" s="225" t="s">
        <v>584</v>
      </c>
      <c r="C458" s="225">
        <v>100</v>
      </c>
      <c r="D458" s="225" t="s">
        <v>585</v>
      </c>
      <c r="E458" s="225">
        <v>102</v>
      </c>
      <c r="F458" s="225" t="s">
        <v>90</v>
      </c>
      <c r="G458" s="225">
        <v>5</v>
      </c>
      <c r="H458" s="225" t="s">
        <v>349</v>
      </c>
      <c r="I458" s="225" t="s">
        <v>586</v>
      </c>
      <c r="J458" s="228">
        <v>54</v>
      </c>
      <c r="K458" s="226">
        <v>71724</v>
      </c>
      <c r="L458" s="226">
        <v>78102</v>
      </c>
      <c r="M458" s="226">
        <v>288491</v>
      </c>
      <c r="N458" s="227">
        <v>206408.8</v>
      </c>
    </row>
    <row r="459" spans="1:14">
      <c r="A459" s="225" t="s">
        <v>583</v>
      </c>
      <c r="B459" s="225" t="s">
        <v>584</v>
      </c>
      <c r="C459" s="225">
        <v>100</v>
      </c>
      <c r="D459" s="225" t="s">
        <v>585</v>
      </c>
      <c r="E459" s="225">
        <v>102</v>
      </c>
      <c r="F459" s="225" t="s">
        <v>90</v>
      </c>
      <c r="G459" s="225">
        <v>4</v>
      </c>
      <c r="H459" s="225" t="s">
        <v>382</v>
      </c>
      <c r="I459" s="225" t="s">
        <v>586</v>
      </c>
      <c r="J459" s="228">
        <v>675</v>
      </c>
      <c r="K459" s="226">
        <v>375000</v>
      </c>
      <c r="L459" s="226">
        <v>472004</v>
      </c>
      <c r="M459" s="226">
        <v>628804</v>
      </c>
      <c r="N459" s="227">
        <v>520865.7</v>
      </c>
    </row>
    <row r="460" spans="1:14">
      <c r="A460" s="225" t="s">
        <v>583</v>
      </c>
      <c r="B460" s="225" t="s">
        <v>584</v>
      </c>
      <c r="C460" s="225">
        <v>100</v>
      </c>
      <c r="D460" s="225" t="s">
        <v>585</v>
      </c>
      <c r="E460" s="225">
        <v>102</v>
      </c>
      <c r="F460" s="225" t="s">
        <v>90</v>
      </c>
      <c r="G460" s="225">
        <v>3</v>
      </c>
      <c r="H460" s="225" t="s">
        <v>383</v>
      </c>
      <c r="I460" s="225" t="s">
        <v>586</v>
      </c>
      <c r="J460" s="228">
        <v>347</v>
      </c>
      <c r="K460" s="226">
        <v>478375</v>
      </c>
      <c r="L460" s="226">
        <v>610589</v>
      </c>
      <c r="M460" s="226">
        <v>781987</v>
      </c>
      <c r="N460" s="227">
        <v>654677.9</v>
      </c>
    </row>
    <row r="461" spans="1:14">
      <c r="A461" s="225" t="s">
        <v>583</v>
      </c>
      <c r="B461" s="225" t="s">
        <v>584</v>
      </c>
      <c r="C461" s="225">
        <v>100</v>
      </c>
      <c r="D461" s="225" t="s">
        <v>585</v>
      </c>
      <c r="E461" s="225">
        <v>102</v>
      </c>
      <c r="F461" s="225" t="s">
        <v>90</v>
      </c>
      <c r="G461" s="225">
        <v>2</v>
      </c>
      <c r="H461" s="225" t="s">
        <v>352</v>
      </c>
      <c r="I461" s="225" t="s">
        <v>586</v>
      </c>
      <c r="J461" s="228">
        <v>253</v>
      </c>
      <c r="K461" s="226">
        <v>473213</v>
      </c>
      <c r="L461" s="226">
        <v>630631</v>
      </c>
      <c r="M461" s="226">
        <v>764641</v>
      </c>
      <c r="N461" s="227">
        <v>641580.9</v>
      </c>
    </row>
    <row r="462" spans="1:14">
      <c r="A462" s="225" t="s">
        <v>583</v>
      </c>
      <c r="B462" s="225" t="s">
        <v>584</v>
      </c>
      <c r="C462" s="225">
        <v>100</v>
      </c>
      <c r="D462" s="225" t="s">
        <v>585</v>
      </c>
      <c r="E462" s="225">
        <v>102</v>
      </c>
      <c r="F462" s="225" t="s">
        <v>90</v>
      </c>
      <c r="G462" s="225">
        <v>6</v>
      </c>
      <c r="H462" s="225" t="s">
        <v>385</v>
      </c>
      <c r="I462" s="225" t="s">
        <v>586</v>
      </c>
      <c r="J462" s="228">
        <v>31</v>
      </c>
      <c r="K462" s="226">
        <v>598462</v>
      </c>
      <c r="L462" s="226">
        <v>725658</v>
      </c>
      <c r="M462" s="226">
        <v>1706108</v>
      </c>
      <c r="N462" s="227">
        <v>1261341.1000000001</v>
      </c>
    </row>
    <row r="463" spans="1:14">
      <c r="A463" s="225" t="s">
        <v>583</v>
      </c>
      <c r="B463" s="225" t="s">
        <v>584</v>
      </c>
      <c r="C463" s="225">
        <v>100</v>
      </c>
      <c r="D463" s="225" t="s">
        <v>585</v>
      </c>
      <c r="E463" s="225">
        <v>102</v>
      </c>
      <c r="F463" s="225" t="s">
        <v>90</v>
      </c>
      <c r="G463" s="225">
        <v>1</v>
      </c>
      <c r="H463" s="225" t="s">
        <v>384</v>
      </c>
      <c r="I463" s="225" t="s">
        <v>586</v>
      </c>
      <c r="J463" s="228">
        <v>49</v>
      </c>
      <c r="K463" s="226">
        <v>829931</v>
      </c>
      <c r="L463" s="226">
        <v>1006377</v>
      </c>
      <c r="M463" s="226">
        <v>1220466</v>
      </c>
      <c r="N463" s="227">
        <v>1061213.1000000001</v>
      </c>
    </row>
    <row r="464" spans="1:14">
      <c r="A464" s="225" t="s">
        <v>583</v>
      </c>
      <c r="B464" s="225" t="s">
        <v>584</v>
      </c>
      <c r="C464" s="225">
        <v>100</v>
      </c>
      <c r="D464" s="225" t="s">
        <v>585</v>
      </c>
      <c r="E464" s="225">
        <v>103</v>
      </c>
      <c r="F464" s="225" t="s">
        <v>96</v>
      </c>
      <c r="G464" s="225">
        <v>5</v>
      </c>
      <c r="H464" s="225" t="s">
        <v>349</v>
      </c>
      <c r="I464" s="225" t="s">
        <v>586</v>
      </c>
      <c r="J464" s="228">
        <v>15</v>
      </c>
      <c r="K464" s="226">
        <v>395221</v>
      </c>
      <c r="L464" s="226">
        <v>523000</v>
      </c>
      <c r="M464" s="226">
        <v>716000</v>
      </c>
      <c r="N464" s="227">
        <v>564223.1</v>
      </c>
    </row>
    <row r="465" spans="1:14">
      <c r="A465" s="225" t="s">
        <v>583</v>
      </c>
      <c r="B465" s="225" t="s">
        <v>584</v>
      </c>
      <c r="C465" s="225">
        <v>100</v>
      </c>
      <c r="D465" s="225" t="s">
        <v>585</v>
      </c>
      <c r="E465" s="225">
        <v>103</v>
      </c>
      <c r="F465" s="225" t="s">
        <v>96</v>
      </c>
      <c r="G465" s="225">
        <v>4</v>
      </c>
      <c r="H465" s="225" t="s">
        <v>382</v>
      </c>
      <c r="I465" s="225" t="s">
        <v>586</v>
      </c>
      <c r="J465" s="228">
        <v>149</v>
      </c>
      <c r="K465" s="226">
        <v>420494</v>
      </c>
      <c r="L465" s="226">
        <v>542891</v>
      </c>
      <c r="M465" s="226">
        <v>686304</v>
      </c>
      <c r="N465" s="227">
        <v>584921</v>
      </c>
    </row>
    <row r="466" spans="1:14">
      <c r="A466" s="225" t="s">
        <v>583</v>
      </c>
      <c r="B466" s="225" t="s">
        <v>584</v>
      </c>
      <c r="C466" s="225">
        <v>100</v>
      </c>
      <c r="D466" s="225" t="s">
        <v>585</v>
      </c>
      <c r="E466" s="225">
        <v>103</v>
      </c>
      <c r="F466" s="225" t="s">
        <v>96</v>
      </c>
      <c r="G466" s="225">
        <v>3</v>
      </c>
      <c r="H466" s="225" t="s">
        <v>383</v>
      </c>
      <c r="I466" s="225" t="s">
        <v>586</v>
      </c>
      <c r="J466" s="228">
        <v>80</v>
      </c>
      <c r="K466" s="226">
        <v>425738</v>
      </c>
      <c r="L466" s="226">
        <v>576813</v>
      </c>
      <c r="M466" s="226">
        <v>818712</v>
      </c>
      <c r="N466" s="227">
        <v>649661.9</v>
      </c>
    </row>
    <row r="467" spans="1:14">
      <c r="A467" s="225" t="s">
        <v>583</v>
      </c>
      <c r="B467" s="225" t="s">
        <v>584</v>
      </c>
      <c r="C467" s="225">
        <v>100</v>
      </c>
      <c r="D467" s="225" t="s">
        <v>585</v>
      </c>
      <c r="E467" s="225">
        <v>103</v>
      </c>
      <c r="F467" s="225" t="s">
        <v>96</v>
      </c>
      <c r="G467" s="225">
        <v>2</v>
      </c>
      <c r="H467" s="225" t="s">
        <v>352</v>
      </c>
      <c r="I467" s="225" t="s">
        <v>586</v>
      </c>
      <c r="J467" s="228">
        <v>58</v>
      </c>
      <c r="K467" s="226">
        <v>480148</v>
      </c>
      <c r="L467" s="226">
        <v>588205</v>
      </c>
      <c r="M467" s="226">
        <v>788041</v>
      </c>
      <c r="N467" s="227">
        <v>714807.2</v>
      </c>
    </row>
    <row r="468" spans="1:14">
      <c r="A468" s="225" t="s">
        <v>583</v>
      </c>
      <c r="B468" s="225" t="s">
        <v>584</v>
      </c>
      <c r="C468" s="225">
        <v>100</v>
      </c>
      <c r="D468" s="225" t="s">
        <v>585</v>
      </c>
      <c r="E468" s="225">
        <v>103</v>
      </c>
      <c r="F468" s="225" t="s">
        <v>96</v>
      </c>
      <c r="G468" s="225">
        <v>6</v>
      </c>
      <c r="H468" s="225" t="s">
        <v>385</v>
      </c>
      <c r="I468" s="225" t="s">
        <v>586</v>
      </c>
      <c r="J468" s="228">
        <v>11</v>
      </c>
      <c r="K468" s="226">
        <v>636760</v>
      </c>
      <c r="L468" s="226">
        <v>669600</v>
      </c>
      <c r="M468" s="226">
        <v>940251</v>
      </c>
      <c r="N468" s="227">
        <v>723639.6</v>
      </c>
    </row>
    <row r="469" spans="1:14">
      <c r="A469" s="225" t="s">
        <v>583</v>
      </c>
      <c r="B469" s="225" t="s">
        <v>584</v>
      </c>
      <c r="C469" s="225">
        <v>100</v>
      </c>
      <c r="D469" s="225" t="s">
        <v>585</v>
      </c>
      <c r="E469" s="225">
        <v>103</v>
      </c>
      <c r="F469" s="225" t="s">
        <v>96</v>
      </c>
      <c r="G469" s="225">
        <v>1</v>
      </c>
      <c r="H469" s="225" t="s">
        <v>384</v>
      </c>
      <c r="I469" s="225" t="s">
        <v>586</v>
      </c>
      <c r="J469" s="228">
        <v>8</v>
      </c>
      <c r="K469" s="226">
        <v>710582</v>
      </c>
      <c r="L469" s="226">
        <v>739490</v>
      </c>
      <c r="M469" s="226">
        <v>956452</v>
      </c>
      <c r="N469" s="227">
        <v>896346.8</v>
      </c>
    </row>
    <row r="470" spans="1:14">
      <c r="A470" s="225" t="s">
        <v>583</v>
      </c>
      <c r="B470" s="225" t="s">
        <v>584</v>
      </c>
      <c r="C470" s="225">
        <v>100</v>
      </c>
      <c r="D470" s="225" t="s">
        <v>585</v>
      </c>
      <c r="E470" s="225">
        <v>104</v>
      </c>
      <c r="F470" s="225" t="s">
        <v>535</v>
      </c>
      <c r="G470" s="225">
        <v>5</v>
      </c>
      <c r="H470" s="225" t="s">
        <v>349</v>
      </c>
      <c r="I470" s="225" t="s">
        <v>586</v>
      </c>
      <c r="J470" s="228">
        <v>26</v>
      </c>
      <c r="K470" s="226">
        <v>345737</v>
      </c>
      <c r="L470" s="226">
        <v>389847</v>
      </c>
      <c r="M470" s="226">
        <v>512020</v>
      </c>
      <c r="N470" s="227">
        <v>436736.3</v>
      </c>
    </row>
    <row r="471" spans="1:14">
      <c r="A471" s="225" t="s">
        <v>583</v>
      </c>
      <c r="B471" s="225" t="s">
        <v>584</v>
      </c>
      <c r="C471" s="225">
        <v>100</v>
      </c>
      <c r="D471" s="225" t="s">
        <v>585</v>
      </c>
      <c r="E471" s="225">
        <v>104</v>
      </c>
      <c r="F471" s="225" t="s">
        <v>535</v>
      </c>
      <c r="G471" s="225">
        <v>4</v>
      </c>
      <c r="H471" s="225" t="s">
        <v>382</v>
      </c>
      <c r="I471" s="225" t="s">
        <v>586</v>
      </c>
      <c r="J471" s="228">
        <v>337</v>
      </c>
      <c r="K471" s="226">
        <v>417484</v>
      </c>
      <c r="L471" s="226">
        <v>498705</v>
      </c>
      <c r="M471" s="226">
        <v>658411</v>
      </c>
      <c r="N471" s="227">
        <v>569184.4</v>
      </c>
    </row>
    <row r="472" spans="1:14">
      <c r="A472" s="225" t="s">
        <v>583</v>
      </c>
      <c r="B472" s="225" t="s">
        <v>584</v>
      </c>
      <c r="C472" s="225">
        <v>100</v>
      </c>
      <c r="D472" s="225" t="s">
        <v>585</v>
      </c>
      <c r="E472" s="225">
        <v>104</v>
      </c>
      <c r="F472" s="225" t="s">
        <v>535</v>
      </c>
      <c r="G472" s="225">
        <v>3</v>
      </c>
      <c r="H472" s="225" t="s">
        <v>383</v>
      </c>
      <c r="I472" s="225" t="s">
        <v>586</v>
      </c>
      <c r="J472" s="228">
        <v>204</v>
      </c>
      <c r="K472" s="226">
        <v>465095</v>
      </c>
      <c r="L472" s="226">
        <v>578408</v>
      </c>
      <c r="M472" s="226">
        <v>762381</v>
      </c>
      <c r="N472" s="227">
        <v>643409.5</v>
      </c>
    </row>
    <row r="473" spans="1:14">
      <c r="A473" s="225" t="s">
        <v>583</v>
      </c>
      <c r="B473" s="225" t="s">
        <v>584</v>
      </c>
      <c r="C473" s="225">
        <v>100</v>
      </c>
      <c r="D473" s="225" t="s">
        <v>585</v>
      </c>
      <c r="E473" s="225">
        <v>104</v>
      </c>
      <c r="F473" s="225" t="s">
        <v>535</v>
      </c>
      <c r="G473" s="225">
        <v>2</v>
      </c>
      <c r="H473" s="225" t="s">
        <v>352</v>
      </c>
      <c r="I473" s="225" t="s">
        <v>586</v>
      </c>
      <c r="J473" s="228">
        <v>153</v>
      </c>
      <c r="K473" s="226">
        <v>491197</v>
      </c>
      <c r="L473" s="226">
        <v>630017</v>
      </c>
      <c r="M473" s="226">
        <v>812360</v>
      </c>
      <c r="N473" s="227">
        <v>733484.8</v>
      </c>
    </row>
    <row r="474" spans="1:14">
      <c r="A474" s="225" t="s">
        <v>583</v>
      </c>
      <c r="B474" s="225" t="s">
        <v>584</v>
      </c>
      <c r="C474" s="225">
        <v>100</v>
      </c>
      <c r="D474" s="225" t="s">
        <v>585</v>
      </c>
      <c r="E474" s="225">
        <v>104</v>
      </c>
      <c r="F474" s="225" t="s">
        <v>535</v>
      </c>
      <c r="G474" s="225">
        <v>6</v>
      </c>
      <c r="H474" s="225" t="s">
        <v>385</v>
      </c>
      <c r="I474" s="225" t="s">
        <v>586</v>
      </c>
      <c r="J474" s="228">
        <v>48</v>
      </c>
      <c r="K474" s="226">
        <v>515354</v>
      </c>
      <c r="L474" s="226">
        <v>614343</v>
      </c>
      <c r="M474" s="226">
        <v>790562</v>
      </c>
      <c r="N474" s="227">
        <v>678305.6</v>
      </c>
    </row>
    <row r="475" spans="1:14">
      <c r="A475" s="225" t="s">
        <v>583</v>
      </c>
      <c r="B475" s="225" t="s">
        <v>584</v>
      </c>
      <c r="C475" s="225">
        <v>100</v>
      </c>
      <c r="D475" s="225" t="s">
        <v>585</v>
      </c>
      <c r="E475" s="225">
        <v>104</v>
      </c>
      <c r="F475" s="225" t="s">
        <v>535</v>
      </c>
      <c r="G475" s="225">
        <v>1</v>
      </c>
      <c r="H475" s="225" t="s">
        <v>384</v>
      </c>
      <c r="I475" s="225" t="s">
        <v>586</v>
      </c>
      <c r="J475" s="228">
        <v>24</v>
      </c>
      <c r="K475" s="226">
        <v>857191</v>
      </c>
      <c r="L475" s="226">
        <v>957332</v>
      </c>
      <c r="M475" s="226">
        <v>1134539</v>
      </c>
      <c r="N475" s="227">
        <v>1009031.1</v>
      </c>
    </row>
    <row r="476" spans="1:14">
      <c r="A476" s="225" t="s">
        <v>583</v>
      </c>
      <c r="B476" s="225" t="s">
        <v>584</v>
      </c>
      <c r="C476" s="225">
        <v>100</v>
      </c>
      <c r="D476" s="225" t="s">
        <v>585</v>
      </c>
      <c r="E476" s="225">
        <v>60</v>
      </c>
      <c r="F476" s="225" t="s">
        <v>544</v>
      </c>
      <c r="G476" s="225">
        <v>5</v>
      </c>
      <c r="H476" s="225" t="s">
        <v>349</v>
      </c>
      <c r="I476" s="225" t="s">
        <v>586</v>
      </c>
      <c r="J476" s="228">
        <v>3</v>
      </c>
      <c r="K476" s="228"/>
      <c r="L476" s="228"/>
      <c r="M476" s="228"/>
      <c r="N476" s="228"/>
    </row>
    <row r="477" spans="1:14">
      <c r="A477" s="225" t="s">
        <v>583</v>
      </c>
      <c r="B477" s="225" t="s">
        <v>584</v>
      </c>
      <c r="C477" s="225">
        <v>100</v>
      </c>
      <c r="D477" s="225" t="s">
        <v>585</v>
      </c>
      <c r="E477" s="225">
        <v>60</v>
      </c>
      <c r="F477" s="225" t="s">
        <v>544</v>
      </c>
      <c r="G477" s="225">
        <v>4</v>
      </c>
      <c r="H477" s="225" t="s">
        <v>382</v>
      </c>
      <c r="I477" s="225" t="s">
        <v>586</v>
      </c>
      <c r="J477" s="228">
        <v>169</v>
      </c>
      <c r="K477" s="226">
        <v>415324</v>
      </c>
      <c r="L477" s="226">
        <v>462260</v>
      </c>
      <c r="M477" s="226">
        <v>541932</v>
      </c>
      <c r="N477" s="227">
        <v>488103.9</v>
      </c>
    </row>
    <row r="478" spans="1:14">
      <c r="A478" s="225" t="s">
        <v>583</v>
      </c>
      <c r="B478" s="225" t="s">
        <v>584</v>
      </c>
      <c r="C478" s="225">
        <v>100</v>
      </c>
      <c r="D478" s="225" t="s">
        <v>585</v>
      </c>
      <c r="E478" s="225">
        <v>60</v>
      </c>
      <c r="F478" s="225" t="s">
        <v>544</v>
      </c>
      <c r="G478" s="225">
        <v>3</v>
      </c>
      <c r="H478" s="225" t="s">
        <v>383</v>
      </c>
      <c r="I478" s="225" t="s">
        <v>586</v>
      </c>
      <c r="J478" s="228">
        <v>132</v>
      </c>
      <c r="K478" s="226">
        <v>501520</v>
      </c>
      <c r="L478" s="226">
        <v>555790</v>
      </c>
      <c r="M478" s="226">
        <v>657267</v>
      </c>
      <c r="N478" s="227">
        <v>602170.9</v>
      </c>
    </row>
    <row r="479" spans="1:14">
      <c r="A479" s="225" t="s">
        <v>583</v>
      </c>
      <c r="B479" s="225" t="s">
        <v>584</v>
      </c>
      <c r="C479" s="225">
        <v>100</v>
      </c>
      <c r="D479" s="225" t="s">
        <v>585</v>
      </c>
      <c r="E479" s="225">
        <v>60</v>
      </c>
      <c r="F479" s="225" t="s">
        <v>544</v>
      </c>
      <c r="G479" s="225">
        <v>2</v>
      </c>
      <c r="H479" s="225" t="s">
        <v>352</v>
      </c>
      <c r="I479" s="225" t="s">
        <v>586</v>
      </c>
      <c r="J479" s="228">
        <v>113</v>
      </c>
      <c r="K479" s="226">
        <v>535488</v>
      </c>
      <c r="L479" s="226">
        <v>632092</v>
      </c>
      <c r="M479" s="226">
        <v>742045</v>
      </c>
      <c r="N479" s="227">
        <v>646883.6</v>
      </c>
    </row>
    <row r="480" spans="1:14">
      <c r="A480" s="225" t="s">
        <v>583</v>
      </c>
      <c r="B480" s="225" t="s">
        <v>584</v>
      </c>
      <c r="C480" s="225">
        <v>100</v>
      </c>
      <c r="D480" s="225" t="s">
        <v>585</v>
      </c>
      <c r="E480" s="225">
        <v>60</v>
      </c>
      <c r="F480" s="225" t="s">
        <v>544</v>
      </c>
      <c r="G480" s="225">
        <v>6</v>
      </c>
      <c r="H480" s="225" t="s">
        <v>385</v>
      </c>
      <c r="I480" s="225" t="s">
        <v>586</v>
      </c>
      <c r="J480" s="228">
        <v>42</v>
      </c>
      <c r="K480" s="226">
        <v>635985</v>
      </c>
      <c r="L480" s="226">
        <v>757814</v>
      </c>
      <c r="M480" s="226">
        <v>913773</v>
      </c>
      <c r="N480" s="227">
        <v>828412.9</v>
      </c>
    </row>
    <row r="481" spans="1:14">
      <c r="A481" s="225" t="s">
        <v>583</v>
      </c>
      <c r="B481" s="225" t="s">
        <v>584</v>
      </c>
      <c r="C481" s="225">
        <v>100</v>
      </c>
      <c r="D481" s="225" t="s">
        <v>585</v>
      </c>
      <c r="E481" s="225">
        <v>60</v>
      </c>
      <c r="F481" s="225" t="s">
        <v>544</v>
      </c>
      <c r="G481" s="225">
        <v>1</v>
      </c>
      <c r="H481" s="225" t="s">
        <v>384</v>
      </c>
      <c r="I481" s="225" t="s">
        <v>586</v>
      </c>
      <c r="J481" s="228">
        <v>4</v>
      </c>
      <c r="K481" s="228"/>
      <c r="L481" s="228"/>
      <c r="M481" s="228"/>
      <c r="N481" s="228"/>
    </row>
    <row r="482" spans="1:14">
      <c r="A482" s="225" t="s">
        <v>583</v>
      </c>
      <c r="B482" s="225" t="s">
        <v>584</v>
      </c>
      <c r="C482" s="225">
        <v>100</v>
      </c>
      <c r="D482" s="225" t="s">
        <v>585</v>
      </c>
      <c r="E482" s="225">
        <v>56</v>
      </c>
      <c r="F482" s="225" t="s">
        <v>546</v>
      </c>
      <c r="G482" s="225">
        <v>5</v>
      </c>
      <c r="H482" s="225" t="s">
        <v>349</v>
      </c>
      <c r="I482" s="225" t="s">
        <v>586</v>
      </c>
      <c r="J482" s="228">
        <v>17</v>
      </c>
      <c r="K482" s="226">
        <v>73990</v>
      </c>
      <c r="L482" s="226">
        <v>85000</v>
      </c>
      <c r="M482" s="226">
        <v>343141</v>
      </c>
      <c r="N482" s="227">
        <v>172554.2</v>
      </c>
    </row>
    <row r="483" spans="1:14">
      <c r="A483" s="225" t="s">
        <v>583</v>
      </c>
      <c r="B483" s="225" t="s">
        <v>584</v>
      </c>
      <c r="C483" s="225">
        <v>100</v>
      </c>
      <c r="D483" s="225" t="s">
        <v>585</v>
      </c>
      <c r="E483" s="225">
        <v>56</v>
      </c>
      <c r="F483" s="225" t="s">
        <v>546</v>
      </c>
      <c r="G483" s="225">
        <v>4</v>
      </c>
      <c r="H483" s="225" t="s">
        <v>382</v>
      </c>
      <c r="I483" s="225" t="s">
        <v>586</v>
      </c>
      <c r="J483" s="228">
        <v>302</v>
      </c>
      <c r="K483" s="226">
        <v>341236</v>
      </c>
      <c r="L483" s="226">
        <v>407390</v>
      </c>
      <c r="M483" s="226">
        <v>521443</v>
      </c>
      <c r="N483" s="227">
        <v>485329</v>
      </c>
    </row>
    <row r="484" spans="1:14">
      <c r="A484" s="225" t="s">
        <v>583</v>
      </c>
      <c r="B484" s="225" t="s">
        <v>584</v>
      </c>
      <c r="C484" s="225">
        <v>100</v>
      </c>
      <c r="D484" s="225" t="s">
        <v>585</v>
      </c>
      <c r="E484" s="225">
        <v>56</v>
      </c>
      <c r="F484" s="225" t="s">
        <v>546</v>
      </c>
      <c r="G484" s="225">
        <v>3</v>
      </c>
      <c r="H484" s="225" t="s">
        <v>383</v>
      </c>
      <c r="I484" s="225" t="s">
        <v>586</v>
      </c>
      <c r="J484" s="228">
        <v>185</v>
      </c>
      <c r="K484" s="226">
        <v>420247</v>
      </c>
      <c r="L484" s="226">
        <v>521300</v>
      </c>
      <c r="M484" s="226">
        <v>691917</v>
      </c>
      <c r="N484" s="227">
        <v>680392.4</v>
      </c>
    </row>
    <row r="485" spans="1:14">
      <c r="A485" s="225" t="s">
        <v>583</v>
      </c>
      <c r="B485" s="225" t="s">
        <v>584</v>
      </c>
      <c r="C485" s="225">
        <v>100</v>
      </c>
      <c r="D485" s="225" t="s">
        <v>585</v>
      </c>
      <c r="E485" s="225">
        <v>56</v>
      </c>
      <c r="F485" s="225" t="s">
        <v>546</v>
      </c>
      <c r="G485" s="225">
        <v>2</v>
      </c>
      <c r="H485" s="225" t="s">
        <v>352</v>
      </c>
      <c r="I485" s="225" t="s">
        <v>586</v>
      </c>
      <c r="J485" s="228">
        <v>150</v>
      </c>
      <c r="K485" s="226">
        <v>465736</v>
      </c>
      <c r="L485" s="226">
        <v>595143</v>
      </c>
      <c r="M485" s="226">
        <v>752500</v>
      </c>
      <c r="N485" s="227">
        <v>706023.2</v>
      </c>
    </row>
    <row r="486" spans="1:14">
      <c r="A486" s="225" t="s">
        <v>583</v>
      </c>
      <c r="B486" s="225" t="s">
        <v>584</v>
      </c>
      <c r="C486" s="225">
        <v>100</v>
      </c>
      <c r="D486" s="225" t="s">
        <v>585</v>
      </c>
      <c r="E486" s="225">
        <v>56</v>
      </c>
      <c r="F486" s="225" t="s">
        <v>546</v>
      </c>
      <c r="G486" s="225">
        <v>6</v>
      </c>
      <c r="H486" s="225" t="s">
        <v>385</v>
      </c>
      <c r="I486" s="225" t="s">
        <v>586</v>
      </c>
      <c r="J486" s="228">
        <v>40</v>
      </c>
      <c r="K486" s="226">
        <v>512788</v>
      </c>
      <c r="L486" s="226">
        <v>653919</v>
      </c>
      <c r="M486" s="226">
        <v>742157</v>
      </c>
      <c r="N486" s="227">
        <v>677675.4</v>
      </c>
    </row>
    <row r="487" spans="1:14">
      <c r="A487" s="225" t="s">
        <v>583</v>
      </c>
      <c r="B487" s="225" t="s">
        <v>584</v>
      </c>
      <c r="C487" s="225">
        <v>100</v>
      </c>
      <c r="D487" s="225" t="s">
        <v>585</v>
      </c>
      <c r="E487" s="225">
        <v>56</v>
      </c>
      <c r="F487" s="225" t="s">
        <v>546</v>
      </c>
      <c r="G487" s="225">
        <v>1</v>
      </c>
      <c r="H487" s="225" t="s">
        <v>384</v>
      </c>
      <c r="I487" s="225" t="s">
        <v>586</v>
      </c>
      <c r="J487" s="228">
        <v>14</v>
      </c>
      <c r="K487" s="226">
        <v>775797</v>
      </c>
      <c r="L487" s="226">
        <v>909689</v>
      </c>
      <c r="M487" s="226">
        <v>946064</v>
      </c>
      <c r="N487" s="227">
        <v>899310.1</v>
      </c>
    </row>
    <row r="488" spans="1:14">
      <c r="A488" s="225" t="s">
        <v>583</v>
      </c>
      <c r="B488" s="225" t="s">
        <v>584</v>
      </c>
      <c r="C488" s="225">
        <v>100</v>
      </c>
      <c r="D488" s="225" t="s">
        <v>585</v>
      </c>
      <c r="E488" s="225">
        <v>96</v>
      </c>
      <c r="F488" s="225" t="s">
        <v>485</v>
      </c>
      <c r="G488" s="225">
        <v>5</v>
      </c>
      <c r="H488" s="225" t="s">
        <v>349</v>
      </c>
      <c r="I488" s="225" t="s">
        <v>586</v>
      </c>
      <c r="J488" s="228">
        <v>6</v>
      </c>
      <c r="K488" s="226">
        <v>283995</v>
      </c>
      <c r="L488" s="226">
        <v>333682</v>
      </c>
      <c r="M488" s="226">
        <v>372830</v>
      </c>
      <c r="N488" s="227">
        <v>339716.3</v>
      </c>
    </row>
    <row r="489" spans="1:14">
      <c r="A489" s="225" t="s">
        <v>583</v>
      </c>
      <c r="B489" s="225" t="s">
        <v>584</v>
      </c>
      <c r="C489" s="225">
        <v>100</v>
      </c>
      <c r="D489" s="225" t="s">
        <v>585</v>
      </c>
      <c r="E489" s="225">
        <v>96</v>
      </c>
      <c r="F489" s="225" t="s">
        <v>485</v>
      </c>
      <c r="G489" s="225">
        <v>4</v>
      </c>
      <c r="H489" s="225" t="s">
        <v>382</v>
      </c>
      <c r="I489" s="225" t="s">
        <v>586</v>
      </c>
      <c r="J489" s="228">
        <v>265</v>
      </c>
      <c r="K489" s="226">
        <v>296205</v>
      </c>
      <c r="L489" s="226">
        <v>328846</v>
      </c>
      <c r="M489" s="226">
        <v>392882</v>
      </c>
      <c r="N489" s="227">
        <v>365364.8</v>
      </c>
    </row>
    <row r="490" spans="1:14">
      <c r="A490" s="225" t="s">
        <v>583</v>
      </c>
      <c r="B490" s="225" t="s">
        <v>584</v>
      </c>
      <c r="C490" s="225">
        <v>100</v>
      </c>
      <c r="D490" s="225" t="s">
        <v>585</v>
      </c>
      <c r="E490" s="225">
        <v>96</v>
      </c>
      <c r="F490" s="225" t="s">
        <v>485</v>
      </c>
      <c r="G490" s="225">
        <v>3</v>
      </c>
      <c r="H490" s="225" t="s">
        <v>383</v>
      </c>
      <c r="I490" s="225" t="s">
        <v>586</v>
      </c>
      <c r="J490" s="228">
        <v>146</v>
      </c>
      <c r="K490" s="226">
        <v>348090</v>
      </c>
      <c r="L490" s="226">
        <v>394850</v>
      </c>
      <c r="M490" s="226">
        <v>472102</v>
      </c>
      <c r="N490" s="227">
        <v>425233.2</v>
      </c>
    </row>
    <row r="491" spans="1:14">
      <c r="A491" s="225" t="s">
        <v>583</v>
      </c>
      <c r="B491" s="225" t="s">
        <v>584</v>
      </c>
      <c r="C491" s="225">
        <v>100</v>
      </c>
      <c r="D491" s="225" t="s">
        <v>585</v>
      </c>
      <c r="E491" s="225">
        <v>96</v>
      </c>
      <c r="F491" s="225" t="s">
        <v>485</v>
      </c>
      <c r="G491" s="225">
        <v>2</v>
      </c>
      <c r="H491" s="225" t="s">
        <v>352</v>
      </c>
      <c r="I491" s="225" t="s">
        <v>586</v>
      </c>
      <c r="J491" s="228">
        <v>200</v>
      </c>
      <c r="K491" s="226">
        <v>391753</v>
      </c>
      <c r="L491" s="226">
        <v>484174</v>
      </c>
      <c r="M491" s="226">
        <v>601901</v>
      </c>
      <c r="N491" s="227">
        <v>507096.5</v>
      </c>
    </row>
    <row r="492" spans="1:14">
      <c r="A492" s="225" t="s">
        <v>583</v>
      </c>
      <c r="B492" s="225" t="s">
        <v>584</v>
      </c>
      <c r="C492" s="225">
        <v>100</v>
      </c>
      <c r="D492" s="225" t="s">
        <v>585</v>
      </c>
      <c r="E492" s="225">
        <v>96</v>
      </c>
      <c r="F492" s="225" t="s">
        <v>485</v>
      </c>
      <c r="G492" s="225">
        <v>6</v>
      </c>
      <c r="H492" s="225" t="s">
        <v>385</v>
      </c>
      <c r="I492" s="225" t="s">
        <v>586</v>
      </c>
      <c r="J492" s="228">
        <v>46</v>
      </c>
      <c r="K492" s="226">
        <v>478620</v>
      </c>
      <c r="L492" s="226">
        <v>626242</v>
      </c>
      <c r="M492" s="226">
        <v>739474</v>
      </c>
      <c r="N492" s="227">
        <v>716602.3</v>
      </c>
    </row>
    <row r="493" spans="1:14">
      <c r="A493" s="225" t="s">
        <v>583</v>
      </c>
      <c r="B493" s="225" t="s">
        <v>584</v>
      </c>
      <c r="C493" s="225">
        <v>100</v>
      </c>
      <c r="D493" s="225" t="s">
        <v>585</v>
      </c>
      <c r="E493" s="225">
        <v>96</v>
      </c>
      <c r="F493" s="225" t="s">
        <v>485</v>
      </c>
      <c r="G493" s="225">
        <v>1</v>
      </c>
      <c r="H493" s="225" t="s">
        <v>384</v>
      </c>
      <c r="I493" s="225" t="s">
        <v>586</v>
      </c>
      <c r="J493" s="228">
        <v>21</v>
      </c>
      <c r="K493" s="226">
        <v>747642</v>
      </c>
      <c r="L493" s="226">
        <v>1065042</v>
      </c>
      <c r="M493" s="226">
        <v>1240064</v>
      </c>
      <c r="N493" s="227">
        <v>1027626.1</v>
      </c>
    </row>
    <row r="494" spans="1:14">
      <c r="A494" s="225" t="s">
        <v>583</v>
      </c>
      <c r="B494" s="225" t="s">
        <v>584</v>
      </c>
      <c r="C494" s="225">
        <v>100</v>
      </c>
      <c r="D494" s="225" t="s">
        <v>585</v>
      </c>
      <c r="E494" s="225">
        <v>57</v>
      </c>
      <c r="F494" s="225" t="s">
        <v>556</v>
      </c>
      <c r="G494" s="225">
        <v>5</v>
      </c>
      <c r="H494" s="225" t="s">
        <v>349</v>
      </c>
      <c r="I494" s="225" t="s">
        <v>586</v>
      </c>
      <c r="J494" s="228">
        <v>25</v>
      </c>
      <c r="K494" s="226">
        <v>131213</v>
      </c>
      <c r="L494" s="226">
        <v>300666</v>
      </c>
      <c r="M494" s="226">
        <v>407481</v>
      </c>
      <c r="N494" s="227">
        <v>305108.09999999998</v>
      </c>
    </row>
    <row r="495" spans="1:14">
      <c r="A495" s="225" t="s">
        <v>583</v>
      </c>
      <c r="B495" s="225" t="s">
        <v>584</v>
      </c>
      <c r="C495" s="225">
        <v>100</v>
      </c>
      <c r="D495" s="225" t="s">
        <v>585</v>
      </c>
      <c r="E495" s="225">
        <v>57</v>
      </c>
      <c r="F495" s="225" t="s">
        <v>556</v>
      </c>
      <c r="G495" s="225">
        <v>4</v>
      </c>
      <c r="H495" s="225" t="s">
        <v>382</v>
      </c>
      <c r="I495" s="225" t="s">
        <v>586</v>
      </c>
      <c r="J495" s="228">
        <v>322</v>
      </c>
      <c r="K495" s="226">
        <v>386450</v>
      </c>
      <c r="L495" s="226">
        <v>460147</v>
      </c>
      <c r="M495" s="226">
        <v>589044</v>
      </c>
      <c r="N495" s="227">
        <v>503283.1</v>
      </c>
    </row>
    <row r="496" spans="1:14">
      <c r="A496" s="225" t="s">
        <v>583</v>
      </c>
      <c r="B496" s="225" t="s">
        <v>584</v>
      </c>
      <c r="C496" s="225">
        <v>100</v>
      </c>
      <c r="D496" s="225" t="s">
        <v>585</v>
      </c>
      <c r="E496" s="225">
        <v>57</v>
      </c>
      <c r="F496" s="225" t="s">
        <v>556</v>
      </c>
      <c r="G496" s="225">
        <v>3</v>
      </c>
      <c r="H496" s="225" t="s">
        <v>383</v>
      </c>
      <c r="I496" s="225" t="s">
        <v>586</v>
      </c>
      <c r="J496" s="228">
        <v>245</v>
      </c>
      <c r="K496" s="226">
        <v>525493</v>
      </c>
      <c r="L496" s="226">
        <v>653868</v>
      </c>
      <c r="M496" s="226">
        <v>850000</v>
      </c>
      <c r="N496" s="227">
        <v>731700.9</v>
      </c>
    </row>
    <row r="497" spans="1:14">
      <c r="A497" s="225" t="s">
        <v>583</v>
      </c>
      <c r="B497" s="225" t="s">
        <v>584</v>
      </c>
      <c r="C497" s="225">
        <v>100</v>
      </c>
      <c r="D497" s="225" t="s">
        <v>585</v>
      </c>
      <c r="E497" s="225">
        <v>57</v>
      </c>
      <c r="F497" s="225" t="s">
        <v>556</v>
      </c>
      <c r="G497" s="225">
        <v>2</v>
      </c>
      <c r="H497" s="225" t="s">
        <v>352</v>
      </c>
      <c r="I497" s="225" t="s">
        <v>586</v>
      </c>
      <c r="J497" s="228">
        <v>239</v>
      </c>
      <c r="K497" s="226">
        <v>563299</v>
      </c>
      <c r="L497" s="226">
        <v>751185</v>
      </c>
      <c r="M497" s="226">
        <v>1061000</v>
      </c>
      <c r="N497" s="227">
        <v>883116.7</v>
      </c>
    </row>
    <row r="498" spans="1:14">
      <c r="A498" s="225" t="s">
        <v>583</v>
      </c>
      <c r="B498" s="225" t="s">
        <v>584</v>
      </c>
      <c r="C498" s="225">
        <v>100</v>
      </c>
      <c r="D498" s="225" t="s">
        <v>585</v>
      </c>
      <c r="E498" s="225">
        <v>57</v>
      </c>
      <c r="F498" s="225" t="s">
        <v>556</v>
      </c>
      <c r="G498" s="225">
        <v>6</v>
      </c>
      <c r="H498" s="225" t="s">
        <v>385</v>
      </c>
      <c r="I498" s="225" t="s">
        <v>586</v>
      </c>
      <c r="J498" s="228">
        <v>70</v>
      </c>
      <c r="K498" s="226">
        <v>720909</v>
      </c>
      <c r="L498" s="226">
        <v>886535</v>
      </c>
      <c r="M498" s="226">
        <v>1295000</v>
      </c>
      <c r="N498" s="227">
        <v>1057911</v>
      </c>
    </row>
    <row r="499" spans="1:14">
      <c r="A499" s="225" t="s">
        <v>583</v>
      </c>
      <c r="B499" s="225" t="s">
        <v>584</v>
      </c>
      <c r="C499" s="225">
        <v>100</v>
      </c>
      <c r="D499" s="225" t="s">
        <v>585</v>
      </c>
      <c r="E499" s="225">
        <v>57</v>
      </c>
      <c r="F499" s="225" t="s">
        <v>556</v>
      </c>
      <c r="G499" s="225">
        <v>1</v>
      </c>
      <c r="H499" s="225" t="s">
        <v>384</v>
      </c>
      <c r="I499" s="225" t="s">
        <v>586</v>
      </c>
      <c r="J499" s="228">
        <v>28</v>
      </c>
      <c r="K499" s="226">
        <v>1034113</v>
      </c>
      <c r="L499" s="226">
        <v>1258559</v>
      </c>
      <c r="M499" s="226">
        <v>2487772</v>
      </c>
      <c r="N499" s="227">
        <v>1756027.4</v>
      </c>
    </row>
    <row r="500" spans="1:14">
      <c r="A500" s="225" t="s">
        <v>583</v>
      </c>
      <c r="B500" s="225" t="s">
        <v>584</v>
      </c>
      <c r="C500" s="225">
        <v>100</v>
      </c>
      <c r="D500" s="225" t="s">
        <v>585</v>
      </c>
      <c r="E500" s="225">
        <v>61</v>
      </c>
      <c r="F500" s="225" t="s">
        <v>567</v>
      </c>
      <c r="G500" s="225">
        <v>5</v>
      </c>
      <c r="H500" s="225" t="s">
        <v>349</v>
      </c>
      <c r="I500" s="225" t="s">
        <v>586</v>
      </c>
      <c r="J500" s="228">
        <v>13</v>
      </c>
      <c r="K500" s="226">
        <v>83898</v>
      </c>
      <c r="L500" s="226">
        <v>89788</v>
      </c>
      <c r="M500" s="226">
        <v>295193</v>
      </c>
      <c r="N500" s="227">
        <v>187526.2</v>
      </c>
    </row>
    <row r="501" spans="1:14">
      <c r="A501" s="225" t="s">
        <v>583</v>
      </c>
      <c r="B501" s="225" t="s">
        <v>584</v>
      </c>
      <c r="C501" s="225">
        <v>100</v>
      </c>
      <c r="D501" s="225" t="s">
        <v>585</v>
      </c>
      <c r="E501" s="225">
        <v>61</v>
      </c>
      <c r="F501" s="225" t="s">
        <v>567</v>
      </c>
      <c r="G501" s="225">
        <v>4</v>
      </c>
      <c r="H501" s="225" t="s">
        <v>382</v>
      </c>
      <c r="I501" s="225" t="s">
        <v>586</v>
      </c>
      <c r="J501" s="228">
        <v>167</v>
      </c>
      <c r="K501" s="226">
        <v>304673</v>
      </c>
      <c r="L501" s="226">
        <v>350000</v>
      </c>
      <c r="M501" s="226">
        <v>414009</v>
      </c>
      <c r="N501" s="227">
        <v>367369.2</v>
      </c>
    </row>
    <row r="502" spans="1:14">
      <c r="A502" s="225" t="s">
        <v>583</v>
      </c>
      <c r="B502" s="225" t="s">
        <v>584</v>
      </c>
      <c r="C502" s="225">
        <v>100</v>
      </c>
      <c r="D502" s="225" t="s">
        <v>585</v>
      </c>
      <c r="E502" s="225">
        <v>61</v>
      </c>
      <c r="F502" s="225" t="s">
        <v>567</v>
      </c>
      <c r="G502" s="225">
        <v>3</v>
      </c>
      <c r="H502" s="225" t="s">
        <v>383</v>
      </c>
      <c r="I502" s="225" t="s">
        <v>586</v>
      </c>
      <c r="J502" s="228">
        <v>139</v>
      </c>
      <c r="K502" s="226">
        <v>427695</v>
      </c>
      <c r="L502" s="226">
        <v>487907</v>
      </c>
      <c r="M502" s="226">
        <v>620763</v>
      </c>
      <c r="N502" s="227">
        <v>515620.7</v>
      </c>
    </row>
    <row r="503" spans="1:14">
      <c r="A503" s="225" t="s">
        <v>583</v>
      </c>
      <c r="B503" s="225" t="s">
        <v>584</v>
      </c>
      <c r="C503" s="225">
        <v>100</v>
      </c>
      <c r="D503" s="225" t="s">
        <v>585</v>
      </c>
      <c r="E503" s="225">
        <v>61</v>
      </c>
      <c r="F503" s="225" t="s">
        <v>567</v>
      </c>
      <c r="G503" s="225">
        <v>2</v>
      </c>
      <c r="H503" s="225" t="s">
        <v>352</v>
      </c>
      <c r="I503" s="225" t="s">
        <v>586</v>
      </c>
      <c r="J503" s="228">
        <v>123</v>
      </c>
      <c r="K503" s="226">
        <v>430000</v>
      </c>
      <c r="L503" s="226">
        <v>587800</v>
      </c>
      <c r="M503" s="226">
        <v>759070</v>
      </c>
      <c r="N503" s="227">
        <v>624341.69999999995</v>
      </c>
    </row>
    <row r="504" spans="1:14">
      <c r="A504" s="225" t="s">
        <v>583</v>
      </c>
      <c r="B504" s="225" t="s">
        <v>584</v>
      </c>
      <c r="C504" s="225">
        <v>100</v>
      </c>
      <c r="D504" s="225" t="s">
        <v>585</v>
      </c>
      <c r="E504" s="225">
        <v>61</v>
      </c>
      <c r="F504" s="225" t="s">
        <v>567</v>
      </c>
      <c r="G504" s="225">
        <v>6</v>
      </c>
      <c r="H504" s="225" t="s">
        <v>385</v>
      </c>
      <c r="I504" s="225" t="s">
        <v>586</v>
      </c>
      <c r="J504" s="228">
        <v>44</v>
      </c>
      <c r="K504" s="226">
        <v>635004</v>
      </c>
      <c r="L504" s="226">
        <v>825001</v>
      </c>
      <c r="M504" s="226">
        <v>1016354</v>
      </c>
      <c r="N504" s="227">
        <v>859594</v>
      </c>
    </row>
    <row r="505" spans="1:14">
      <c r="A505" s="225" t="s">
        <v>583</v>
      </c>
      <c r="B505" s="225" t="s">
        <v>584</v>
      </c>
      <c r="C505" s="225">
        <v>100</v>
      </c>
      <c r="D505" s="225" t="s">
        <v>585</v>
      </c>
      <c r="E505" s="225">
        <v>61</v>
      </c>
      <c r="F505" s="225" t="s">
        <v>567</v>
      </c>
      <c r="G505" s="225">
        <v>1</v>
      </c>
      <c r="H505" s="225" t="s">
        <v>384</v>
      </c>
      <c r="I505" s="225" t="s">
        <v>586</v>
      </c>
      <c r="J505" s="228">
        <v>8</v>
      </c>
      <c r="K505" s="226">
        <v>820831</v>
      </c>
      <c r="L505" s="226">
        <v>1001677</v>
      </c>
      <c r="M505" s="226">
        <v>1549817</v>
      </c>
      <c r="N505" s="227">
        <v>1164913.6000000001</v>
      </c>
    </row>
    <row r="506" spans="1:14">
      <c r="A506" s="225" t="s">
        <v>583</v>
      </c>
      <c r="B506" s="225" t="s">
        <v>584</v>
      </c>
      <c r="C506" s="225">
        <v>100</v>
      </c>
      <c r="D506" s="225" t="s">
        <v>585</v>
      </c>
      <c r="E506" s="225">
        <v>86</v>
      </c>
      <c r="F506" s="225" t="s">
        <v>568</v>
      </c>
      <c r="G506" s="225">
        <v>5</v>
      </c>
      <c r="H506" s="225" t="s">
        <v>349</v>
      </c>
      <c r="I506" s="225" t="s">
        <v>586</v>
      </c>
      <c r="J506" s="228">
        <v>34</v>
      </c>
      <c r="K506" s="226">
        <v>120000</v>
      </c>
      <c r="L506" s="226">
        <v>346100</v>
      </c>
      <c r="M506" s="226">
        <v>469278</v>
      </c>
      <c r="N506" s="227">
        <v>318522.3</v>
      </c>
    </row>
    <row r="507" spans="1:14">
      <c r="A507" s="225" t="s">
        <v>583</v>
      </c>
      <c r="B507" s="225" t="s">
        <v>584</v>
      </c>
      <c r="C507" s="225">
        <v>100</v>
      </c>
      <c r="D507" s="225" t="s">
        <v>585</v>
      </c>
      <c r="E507" s="225">
        <v>86</v>
      </c>
      <c r="F507" s="225" t="s">
        <v>568</v>
      </c>
      <c r="G507" s="225">
        <v>4</v>
      </c>
      <c r="H507" s="225" t="s">
        <v>382</v>
      </c>
      <c r="I507" s="225" t="s">
        <v>586</v>
      </c>
      <c r="J507" s="228">
        <v>403</v>
      </c>
      <c r="K507" s="226">
        <v>348490</v>
      </c>
      <c r="L507" s="226">
        <v>390762</v>
      </c>
      <c r="M507" s="226">
        <v>453597</v>
      </c>
      <c r="N507" s="227">
        <v>410366.9</v>
      </c>
    </row>
    <row r="508" spans="1:14">
      <c r="A508" s="225" t="s">
        <v>583</v>
      </c>
      <c r="B508" s="225" t="s">
        <v>584</v>
      </c>
      <c r="C508" s="225">
        <v>100</v>
      </c>
      <c r="D508" s="225" t="s">
        <v>585</v>
      </c>
      <c r="E508" s="225">
        <v>86</v>
      </c>
      <c r="F508" s="225" t="s">
        <v>568</v>
      </c>
      <c r="G508" s="225">
        <v>3</v>
      </c>
      <c r="H508" s="225" t="s">
        <v>383</v>
      </c>
      <c r="I508" s="225" t="s">
        <v>586</v>
      </c>
      <c r="J508" s="228">
        <v>194</v>
      </c>
      <c r="K508" s="226">
        <v>417271</v>
      </c>
      <c r="L508" s="226">
        <v>459558</v>
      </c>
      <c r="M508" s="226">
        <v>532788</v>
      </c>
      <c r="N508" s="227">
        <v>476094.7</v>
      </c>
    </row>
    <row r="509" spans="1:14">
      <c r="A509" s="225" t="s">
        <v>583</v>
      </c>
      <c r="B509" s="225" t="s">
        <v>584</v>
      </c>
      <c r="C509" s="225">
        <v>100</v>
      </c>
      <c r="D509" s="225" t="s">
        <v>585</v>
      </c>
      <c r="E509" s="225">
        <v>86</v>
      </c>
      <c r="F509" s="225" t="s">
        <v>568</v>
      </c>
      <c r="G509" s="225">
        <v>2</v>
      </c>
      <c r="H509" s="225" t="s">
        <v>352</v>
      </c>
      <c r="I509" s="225" t="s">
        <v>586</v>
      </c>
      <c r="J509" s="228">
        <v>161</v>
      </c>
      <c r="K509" s="226">
        <v>440478</v>
      </c>
      <c r="L509" s="226">
        <v>500420</v>
      </c>
      <c r="M509" s="226">
        <v>586896</v>
      </c>
      <c r="N509" s="227">
        <v>519800</v>
      </c>
    </row>
    <row r="510" spans="1:14">
      <c r="A510" s="225" t="s">
        <v>583</v>
      </c>
      <c r="B510" s="225" t="s">
        <v>584</v>
      </c>
      <c r="C510" s="225">
        <v>100</v>
      </c>
      <c r="D510" s="225" t="s">
        <v>585</v>
      </c>
      <c r="E510" s="225">
        <v>86</v>
      </c>
      <c r="F510" s="225" t="s">
        <v>568</v>
      </c>
      <c r="G510" s="225">
        <v>6</v>
      </c>
      <c r="H510" s="225" t="s">
        <v>385</v>
      </c>
      <c r="I510" s="225" t="s">
        <v>586</v>
      </c>
      <c r="J510" s="228">
        <v>44</v>
      </c>
      <c r="K510" s="226">
        <v>526323</v>
      </c>
      <c r="L510" s="226">
        <v>599576</v>
      </c>
      <c r="M510" s="226">
        <v>683840</v>
      </c>
      <c r="N510" s="227">
        <v>620384.19999999995</v>
      </c>
    </row>
    <row r="511" spans="1:14">
      <c r="A511" s="225" t="s">
        <v>583</v>
      </c>
      <c r="B511" s="225" t="s">
        <v>584</v>
      </c>
      <c r="C511" s="225">
        <v>100</v>
      </c>
      <c r="D511" s="225" t="s">
        <v>585</v>
      </c>
      <c r="E511" s="225">
        <v>86</v>
      </c>
      <c r="F511" s="225" t="s">
        <v>568</v>
      </c>
      <c r="G511" s="225">
        <v>1</v>
      </c>
      <c r="H511" s="225" t="s">
        <v>384</v>
      </c>
      <c r="I511" s="225" t="s">
        <v>586</v>
      </c>
      <c r="J511" s="228">
        <v>5</v>
      </c>
      <c r="K511" s="226">
        <v>630744</v>
      </c>
      <c r="L511" s="226">
        <v>706938</v>
      </c>
      <c r="M511" s="226">
        <v>924594</v>
      </c>
      <c r="N511" s="227">
        <v>763522.8</v>
      </c>
    </row>
    <row r="512" spans="1:14">
      <c r="A512" s="225" t="s">
        <v>583</v>
      </c>
      <c r="B512" s="225" t="s">
        <v>584</v>
      </c>
      <c r="C512" s="225">
        <v>100</v>
      </c>
      <c r="D512" s="225" t="s">
        <v>585</v>
      </c>
      <c r="E512" s="225">
        <v>58</v>
      </c>
      <c r="F512" s="225" t="s">
        <v>170</v>
      </c>
      <c r="G512" s="225">
        <v>5</v>
      </c>
      <c r="H512" s="225" t="s">
        <v>349</v>
      </c>
      <c r="I512" s="225" t="s">
        <v>586</v>
      </c>
      <c r="J512" s="228">
        <v>57</v>
      </c>
      <c r="K512" s="226">
        <v>80828</v>
      </c>
      <c r="L512" s="226">
        <v>109375</v>
      </c>
      <c r="M512" s="226">
        <v>368671</v>
      </c>
      <c r="N512" s="227">
        <v>216862.6</v>
      </c>
    </row>
    <row r="513" spans="1:14">
      <c r="A513" s="225" t="s">
        <v>583</v>
      </c>
      <c r="B513" s="225" t="s">
        <v>584</v>
      </c>
      <c r="C513" s="225">
        <v>100</v>
      </c>
      <c r="D513" s="225" t="s">
        <v>585</v>
      </c>
      <c r="E513" s="225">
        <v>58</v>
      </c>
      <c r="F513" s="225" t="s">
        <v>170</v>
      </c>
      <c r="G513" s="225">
        <v>4</v>
      </c>
      <c r="H513" s="225" t="s">
        <v>382</v>
      </c>
      <c r="I513" s="225" t="s">
        <v>586</v>
      </c>
      <c r="J513" s="228">
        <v>507</v>
      </c>
      <c r="K513" s="226">
        <v>322714</v>
      </c>
      <c r="L513" s="226">
        <v>371812</v>
      </c>
      <c r="M513" s="226">
        <v>441000</v>
      </c>
      <c r="N513" s="227">
        <v>391575.2</v>
      </c>
    </row>
    <row r="514" spans="1:14">
      <c r="A514" s="225" t="s">
        <v>583</v>
      </c>
      <c r="B514" s="225" t="s">
        <v>584</v>
      </c>
      <c r="C514" s="225">
        <v>100</v>
      </c>
      <c r="D514" s="225" t="s">
        <v>585</v>
      </c>
      <c r="E514" s="225">
        <v>58</v>
      </c>
      <c r="F514" s="225" t="s">
        <v>170</v>
      </c>
      <c r="G514" s="225">
        <v>3</v>
      </c>
      <c r="H514" s="225" t="s">
        <v>383</v>
      </c>
      <c r="I514" s="225" t="s">
        <v>586</v>
      </c>
      <c r="J514" s="228">
        <v>300</v>
      </c>
      <c r="K514" s="226">
        <v>374269</v>
      </c>
      <c r="L514" s="226">
        <v>440029</v>
      </c>
      <c r="M514" s="226">
        <v>530191</v>
      </c>
      <c r="N514" s="227">
        <v>475411.20000000001</v>
      </c>
    </row>
    <row r="515" spans="1:14">
      <c r="A515" s="225" t="s">
        <v>583</v>
      </c>
      <c r="B515" s="225" t="s">
        <v>584</v>
      </c>
      <c r="C515" s="225">
        <v>100</v>
      </c>
      <c r="D515" s="225" t="s">
        <v>585</v>
      </c>
      <c r="E515" s="225">
        <v>58</v>
      </c>
      <c r="F515" s="225" t="s">
        <v>170</v>
      </c>
      <c r="G515" s="225">
        <v>2</v>
      </c>
      <c r="H515" s="225" t="s">
        <v>352</v>
      </c>
      <c r="I515" s="225" t="s">
        <v>586</v>
      </c>
      <c r="J515" s="228">
        <v>287</v>
      </c>
      <c r="K515" s="226">
        <v>419832</v>
      </c>
      <c r="L515" s="226">
        <v>512732</v>
      </c>
      <c r="M515" s="226">
        <v>626462</v>
      </c>
      <c r="N515" s="227">
        <v>544631.19999999995</v>
      </c>
    </row>
    <row r="516" spans="1:14">
      <c r="A516" s="225" t="s">
        <v>583</v>
      </c>
      <c r="B516" s="225" t="s">
        <v>584</v>
      </c>
      <c r="C516" s="225">
        <v>100</v>
      </c>
      <c r="D516" s="225" t="s">
        <v>585</v>
      </c>
      <c r="E516" s="225">
        <v>58</v>
      </c>
      <c r="F516" s="225" t="s">
        <v>170</v>
      </c>
      <c r="G516" s="225">
        <v>6</v>
      </c>
      <c r="H516" s="225" t="s">
        <v>385</v>
      </c>
      <c r="I516" s="225" t="s">
        <v>586</v>
      </c>
      <c r="J516" s="228">
        <v>40</v>
      </c>
      <c r="K516" s="226">
        <v>496743</v>
      </c>
      <c r="L516" s="226">
        <v>583940</v>
      </c>
      <c r="M516" s="226">
        <v>726144</v>
      </c>
      <c r="N516" s="227">
        <v>651854.1</v>
      </c>
    </row>
    <row r="517" spans="1:14">
      <c r="A517" s="225" t="s">
        <v>583</v>
      </c>
      <c r="B517" s="225" t="s">
        <v>584</v>
      </c>
      <c r="C517" s="225">
        <v>100</v>
      </c>
      <c r="D517" s="225" t="s">
        <v>585</v>
      </c>
      <c r="E517" s="225">
        <v>58</v>
      </c>
      <c r="F517" s="225" t="s">
        <v>170</v>
      </c>
      <c r="G517" s="225">
        <v>1</v>
      </c>
      <c r="H517" s="225" t="s">
        <v>384</v>
      </c>
      <c r="I517" s="225" t="s">
        <v>586</v>
      </c>
      <c r="J517" s="228">
        <v>58</v>
      </c>
      <c r="K517" s="226">
        <v>657665</v>
      </c>
      <c r="L517" s="226">
        <v>793560</v>
      </c>
      <c r="M517" s="226">
        <v>985978</v>
      </c>
      <c r="N517" s="227">
        <v>916789.4</v>
      </c>
    </row>
    <row r="518" spans="1:14">
      <c r="A518" s="225" t="s">
        <v>583</v>
      </c>
      <c r="B518" s="225" t="s">
        <v>584</v>
      </c>
      <c r="C518" s="225">
        <v>100</v>
      </c>
      <c r="D518" s="225" t="s">
        <v>585</v>
      </c>
      <c r="E518" s="225">
        <v>59</v>
      </c>
      <c r="F518" s="225" t="s">
        <v>569</v>
      </c>
      <c r="G518" s="225">
        <v>5</v>
      </c>
      <c r="H518" s="225" t="s">
        <v>349</v>
      </c>
      <c r="I518" s="225" t="s">
        <v>586</v>
      </c>
      <c r="J518" s="228">
        <v>18</v>
      </c>
      <c r="K518" s="226">
        <v>350000</v>
      </c>
      <c r="L518" s="226">
        <v>381975</v>
      </c>
      <c r="M518" s="226">
        <v>526500</v>
      </c>
      <c r="N518" s="227">
        <v>435750.9</v>
      </c>
    </row>
    <row r="519" spans="1:14">
      <c r="A519" s="225" t="s">
        <v>583</v>
      </c>
      <c r="B519" s="225" t="s">
        <v>584</v>
      </c>
      <c r="C519" s="225">
        <v>100</v>
      </c>
      <c r="D519" s="225" t="s">
        <v>585</v>
      </c>
      <c r="E519" s="225">
        <v>59</v>
      </c>
      <c r="F519" s="225" t="s">
        <v>569</v>
      </c>
      <c r="G519" s="225">
        <v>4</v>
      </c>
      <c r="H519" s="225" t="s">
        <v>382</v>
      </c>
      <c r="I519" s="225" t="s">
        <v>586</v>
      </c>
      <c r="J519" s="228">
        <v>248</v>
      </c>
      <c r="K519" s="226">
        <v>340114</v>
      </c>
      <c r="L519" s="226">
        <v>385651</v>
      </c>
      <c r="M519" s="226">
        <v>477265</v>
      </c>
      <c r="N519" s="227">
        <v>447911.5</v>
      </c>
    </row>
    <row r="520" spans="1:14">
      <c r="A520" s="225" t="s">
        <v>583</v>
      </c>
      <c r="B520" s="225" t="s">
        <v>584</v>
      </c>
      <c r="C520" s="225">
        <v>100</v>
      </c>
      <c r="D520" s="225" t="s">
        <v>585</v>
      </c>
      <c r="E520" s="225">
        <v>59</v>
      </c>
      <c r="F520" s="225" t="s">
        <v>569</v>
      </c>
      <c r="G520" s="225">
        <v>3</v>
      </c>
      <c r="H520" s="225" t="s">
        <v>383</v>
      </c>
      <c r="I520" s="225" t="s">
        <v>586</v>
      </c>
      <c r="J520" s="228">
        <v>156</v>
      </c>
      <c r="K520" s="226">
        <v>423860</v>
      </c>
      <c r="L520" s="226">
        <v>490644</v>
      </c>
      <c r="M520" s="226">
        <v>586475</v>
      </c>
      <c r="N520" s="227">
        <v>533508.19999999995</v>
      </c>
    </row>
    <row r="521" spans="1:14">
      <c r="A521" s="225" t="s">
        <v>583</v>
      </c>
      <c r="B521" s="225" t="s">
        <v>584</v>
      </c>
      <c r="C521" s="225">
        <v>100</v>
      </c>
      <c r="D521" s="225" t="s">
        <v>585</v>
      </c>
      <c r="E521" s="225">
        <v>59</v>
      </c>
      <c r="F521" s="225" t="s">
        <v>569</v>
      </c>
      <c r="G521" s="225">
        <v>2</v>
      </c>
      <c r="H521" s="225" t="s">
        <v>352</v>
      </c>
      <c r="I521" s="225" t="s">
        <v>586</v>
      </c>
      <c r="J521" s="228">
        <v>133</v>
      </c>
      <c r="K521" s="226">
        <v>426141</v>
      </c>
      <c r="L521" s="226">
        <v>511800</v>
      </c>
      <c r="M521" s="226">
        <v>631379</v>
      </c>
      <c r="N521" s="227">
        <v>549486.30000000005</v>
      </c>
    </row>
    <row r="522" spans="1:14">
      <c r="A522" s="225" t="s">
        <v>583</v>
      </c>
      <c r="B522" s="225" t="s">
        <v>584</v>
      </c>
      <c r="C522" s="225">
        <v>100</v>
      </c>
      <c r="D522" s="225" t="s">
        <v>585</v>
      </c>
      <c r="E522" s="225">
        <v>59</v>
      </c>
      <c r="F522" s="225" t="s">
        <v>569</v>
      </c>
      <c r="G522" s="225">
        <v>6</v>
      </c>
      <c r="H522" s="225" t="s">
        <v>385</v>
      </c>
      <c r="I522" s="225" t="s">
        <v>586</v>
      </c>
      <c r="J522" s="228">
        <v>43</v>
      </c>
      <c r="K522" s="226">
        <v>574982</v>
      </c>
      <c r="L522" s="226">
        <v>646000</v>
      </c>
      <c r="M522" s="226">
        <v>740625</v>
      </c>
      <c r="N522" s="227">
        <v>699900.8</v>
      </c>
    </row>
    <row r="523" spans="1:14">
      <c r="A523" s="225" t="s">
        <v>583</v>
      </c>
      <c r="B523" s="225" t="s">
        <v>584</v>
      </c>
      <c r="C523" s="225">
        <v>100</v>
      </c>
      <c r="D523" s="225" t="s">
        <v>585</v>
      </c>
      <c r="E523" s="225">
        <v>59</v>
      </c>
      <c r="F523" s="225" t="s">
        <v>569</v>
      </c>
      <c r="G523" s="225">
        <v>1</v>
      </c>
      <c r="H523" s="225" t="s">
        <v>384</v>
      </c>
      <c r="I523" s="225" t="s">
        <v>586</v>
      </c>
      <c r="J523" s="228">
        <v>6</v>
      </c>
      <c r="K523" s="226">
        <v>716014</v>
      </c>
      <c r="L523" s="226">
        <v>878728</v>
      </c>
      <c r="M523" s="226">
        <v>948159</v>
      </c>
      <c r="N523" s="227">
        <v>1096083.3</v>
      </c>
    </row>
    <row r="524" spans="1:14">
      <c r="A524" s="225" t="s">
        <v>583</v>
      </c>
      <c r="B524" s="225" t="s">
        <v>584</v>
      </c>
      <c r="C524" s="225">
        <v>100</v>
      </c>
      <c r="D524" s="225" t="s">
        <v>585</v>
      </c>
      <c r="E524" s="225">
        <v>64</v>
      </c>
      <c r="F524" s="225" t="s">
        <v>540</v>
      </c>
      <c r="G524" s="225">
        <v>5</v>
      </c>
      <c r="H524" s="225" t="s">
        <v>349</v>
      </c>
      <c r="I524" s="225" t="s">
        <v>586</v>
      </c>
      <c r="J524" s="228">
        <v>20</v>
      </c>
      <c r="K524" s="226">
        <v>172079</v>
      </c>
      <c r="L524" s="226">
        <v>252523</v>
      </c>
      <c r="M524" s="226">
        <v>323750</v>
      </c>
      <c r="N524" s="227">
        <v>246455.3</v>
      </c>
    </row>
    <row r="525" spans="1:14">
      <c r="A525" s="225" t="s">
        <v>583</v>
      </c>
      <c r="B525" s="225" t="s">
        <v>584</v>
      </c>
      <c r="C525" s="225">
        <v>100</v>
      </c>
      <c r="D525" s="225" t="s">
        <v>585</v>
      </c>
      <c r="E525" s="225">
        <v>64</v>
      </c>
      <c r="F525" s="225" t="s">
        <v>540</v>
      </c>
      <c r="G525" s="225">
        <v>4</v>
      </c>
      <c r="H525" s="225" t="s">
        <v>382</v>
      </c>
      <c r="I525" s="225" t="s">
        <v>586</v>
      </c>
      <c r="J525" s="228">
        <v>233</v>
      </c>
      <c r="K525" s="226">
        <v>259591</v>
      </c>
      <c r="L525" s="226">
        <v>315000</v>
      </c>
      <c r="M525" s="226">
        <v>405100</v>
      </c>
      <c r="N525" s="227">
        <v>337967.1</v>
      </c>
    </row>
    <row r="526" spans="1:14">
      <c r="A526" s="225" t="s">
        <v>583</v>
      </c>
      <c r="B526" s="225" t="s">
        <v>584</v>
      </c>
      <c r="C526" s="225">
        <v>100</v>
      </c>
      <c r="D526" s="225" t="s">
        <v>585</v>
      </c>
      <c r="E526" s="225">
        <v>64</v>
      </c>
      <c r="F526" s="225" t="s">
        <v>540</v>
      </c>
      <c r="G526" s="225">
        <v>3</v>
      </c>
      <c r="H526" s="225" t="s">
        <v>383</v>
      </c>
      <c r="I526" s="225" t="s">
        <v>586</v>
      </c>
      <c r="J526" s="228">
        <v>108</v>
      </c>
      <c r="K526" s="226">
        <v>318750</v>
      </c>
      <c r="L526" s="226">
        <v>393054</v>
      </c>
      <c r="M526" s="226">
        <v>483751</v>
      </c>
      <c r="N526" s="227">
        <v>399592.4</v>
      </c>
    </row>
    <row r="527" spans="1:14">
      <c r="A527" s="225" t="s">
        <v>583</v>
      </c>
      <c r="B527" s="225" t="s">
        <v>584</v>
      </c>
      <c r="C527" s="225">
        <v>100</v>
      </c>
      <c r="D527" s="225" t="s">
        <v>585</v>
      </c>
      <c r="E527" s="225">
        <v>64</v>
      </c>
      <c r="F527" s="225" t="s">
        <v>540</v>
      </c>
      <c r="G527" s="225">
        <v>2</v>
      </c>
      <c r="H527" s="225" t="s">
        <v>352</v>
      </c>
      <c r="I527" s="225" t="s">
        <v>586</v>
      </c>
      <c r="J527" s="228">
        <v>83</v>
      </c>
      <c r="K527" s="226">
        <v>238633</v>
      </c>
      <c r="L527" s="226">
        <v>404122</v>
      </c>
      <c r="M527" s="226">
        <v>561756</v>
      </c>
      <c r="N527" s="227">
        <v>436758.4</v>
      </c>
    </row>
    <row r="528" spans="1:14">
      <c r="A528" s="225" t="s">
        <v>583</v>
      </c>
      <c r="B528" s="225" t="s">
        <v>584</v>
      </c>
      <c r="C528" s="225">
        <v>100</v>
      </c>
      <c r="D528" s="225" t="s">
        <v>585</v>
      </c>
      <c r="E528" s="225">
        <v>64</v>
      </c>
      <c r="F528" s="225" t="s">
        <v>540</v>
      </c>
      <c r="G528" s="225">
        <v>6</v>
      </c>
      <c r="H528" s="225" t="s">
        <v>385</v>
      </c>
      <c r="I528" s="225" t="s">
        <v>586</v>
      </c>
      <c r="J528" s="228">
        <v>43</v>
      </c>
      <c r="K528" s="226">
        <v>452625</v>
      </c>
      <c r="L528" s="226">
        <v>582270</v>
      </c>
      <c r="M528" s="226">
        <v>740000</v>
      </c>
      <c r="N528" s="227">
        <v>624651.1</v>
      </c>
    </row>
    <row r="529" spans="1:14">
      <c r="A529" s="225" t="s">
        <v>583</v>
      </c>
      <c r="B529" s="225" t="s">
        <v>584</v>
      </c>
      <c r="C529" s="225">
        <v>100</v>
      </c>
      <c r="D529" s="225" t="s">
        <v>585</v>
      </c>
      <c r="E529" s="225">
        <v>64</v>
      </c>
      <c r="F529" s="225" t="s">
        <v>540</v>
      </c>
      <c r="G529" s="225">
        <v>1</v>
      </c>
      <c r="H529" s="225" t="s">
        <v>384</v>
      </c>
      <c r="I529" s="225" t="s">
        <v>586</v>
      </c>
      <c r="J529" s="228">
        <v>10</v>
      </c>
      <c r="K529" s="226">
        <v>700000</v>
      </c>
      <c r="L529" s="226">
        <v>757496</v>
      </c>
      <c r="M529" s="226">
        <v>811859</v>
      </c>
      <c r="N529" s="227">
        <v>775615.6</v>
      </c>
    </row>
    <row r="530" spans="1:14">
      <c r="A530" s="225" t="s">
        <v>583</v>
      </c>
      <c r="B530" s="225" t="s">
        <v>584</v>
      </c>
      <c r="C530" s="225">
        <v>100</v>
      </c>
      <c r="D530" s="225" t="s">
        <v>585</v>
      </c>
      <c r="E530" s="225">
        <v>52</v>
      </c>
      <c r="F530" s="225" t="s">
        <v>503</v>
      </c>
      <c r="G530" s="225">
        <v>5</v>
      </c>
      <c r="H530" s="225" t="s">
        <v>349</v>
      </c>
      <c r="I530" s="225" t="s">
        <v>586</v>
      </c>
      <c r="J530" s="228">
        <v>0</v>
      </c>
      <c r="K530" s="228"/>
      <c r="L530" s="228"/>
      <c r="M530" s="228"/>
      <c r="N530" s="228"/>
    </row>
    <row r="531" spans="1:14">
      <c r="A531" s="225" t="s">
        <v>583</v>
      </c>
      <c r="B531" s="225" t="s">
        <v>584</v>
      </c>
      <c r="C531" s="225">
        <v>100</v>
      </c>
      <c r="D531" s="225" t="s">
        <v>585</v>
      </c>
      <c r="E531" s="225">
        <v>52</v>
      </c>
      <c r="F531" s="225" t="s">
        <v>503</v>
      </c>
      <c r="G531" s="225">
        <v>4</v>
      </c>
      <c r="H531" s="225" t="s">
        <v>382</v>
      </c>
      <c r="I531" s="225" t="s">
        <v>586</v>
      </c>
      <c r="J531" s="228">
        <v>41</v>
      </c>
      <c r="K531" s="226">
        <v>134251</v>
      </c>
      <c r="L531" s="226">
        <v>192039</v>
      </c>
      <c r="M531" s="226">
        <v>220716</v>
      </c>
      <c r="N531" s="227">
        <v>182367.6</v>
      </c>
    </row>
    <row r="532" spans="1:14">
      <c r="A532" s="225" t="s">
        <v>583</v>
      </c>
      <c r="B532" s="225" t="s">
        <v>584</v>
      </c>
      <c r="C532" s="225">
        <v>100</v>
      </c>
      <c r="D532" s="225" t="s">
        <v>585</v>
      </c>
      <c r="E532" s="225">
        <v>52</v>
      </c>
      <c r="F532" s="225" t="s">
        <v>503</v>
      </c>
      <c r="G532" s="225">
        <v>3</v>
      </c>
      <c r="H532" s="225" t="s">
        <v>383</v>
      </c>
      <c r="I532" s="225" t="s">
        <v>586</v>
      </c>
      <c r="J532" s="228">
        <v>16</v>
      </c>
      <c r="K532" s="226">
        <v>152504</v>
      </c>
      <c r="L532" s="226">
        <v>173750</v>
      </c>
      <c r="M532" s="226">
        <v>207000</v>
      </c>
      <c r="N532" s="227">
        <v>187356.79999999999</v>
      </c>
    </row>
    <row r="533" spans="1:14">
      <c r="A533" s="225" t="s">
        <v>583</v>
      </c>
      <c r="B533" s="225" t="s">
        <v>584</v>
      </c>
      <c r="C533" s="225">
        <v>100</v>
      </c>
      <c r="D533" s="225" t="s">
        <v>585</v>
      </c>
      <c r="E533" s="225">
        <v>52</v>
      </c>
      <c r="F533" s="225" t="s">
        <v>503</v>
      </c>
      <c r="G533" s="225">
        <v>2</v>
      </c>
      <c r="H533" s="225" t="s">
        <v>352</v>
      </c>
      <c r="I533" s="225" t="s">
        <v>586</v>
      </c>
      <c r="J533" s="228">
        <v>24</v>
      </c>
      <c r="K533" s="226">
        <v>203767</v>
      </c>
      <c r="L533" s="226">
        <v>244584</v>
      </c>
      <c r="M533" s="226">
        <v>298948</v>
      </c>
      <c r="N533" s="227">
        <v>255891.1</v>
      </c>
    </row>
    <row r="534" spans="1:14">
      <c r="A534" s="225" t="s">
        <v>583</v>
      </c>
      <c r="B534" s="225" t="s">
        <v>584</v>
      </c>
      <c r="C534" s="225">
        <v>100</v>
      </c>
      <c r="D534" s="225" t="s">
        <v>585</v>
      </c>
      <c r="E534" s="225">
        <v>52</v>
      </c>
      <c r="F534" s="225" t="s">
        <v>503</v>
      </c>
      <c r="G534" s="225">
        <v>6</v>
      </c>
      <c r="H534" s="225" t="s">
        <v>385</v>
      </c>
      <c r="I534" s="225" t="s">
        <v>586</v>
      </c>
      <c r="J534" s="228">
        <v>4</v>
      </c>
      <c r="K534" s="228"/>
      <c r="L534" s="228"/>
      <c r="M534" s="228"/>
      <c r="N534" s="228"/>
    </row>
    <row r="535" spans="1:14">
      <c r="A535" s="225" t="s">
        <v>583</v>
      </c>
      <c r="B535" s="225" t="s">
        <v>584</v>
      </c>
      <c r="C535" s="225">
        <v>100</v>
      </c>
      <c r="D535" s="225" t="s">
        <v>585</v>
      </c>
      <c r="E535" s="225">
        <v>52</v>
      </c>
      <c r="F535" s="225" t="s">
        <v>503</v>
      </c>
      <c r="G535" s="225">
        <v>1</v>
      </c>
      <c r="H535" s="225" t="s">
        <v>384</v>
      </c>
      <c r="I535" s="225" t="s">
        <v>586</v>
      </c>
      <c r="J535" s="228">
        <v>5</v>
      </c>
      <c r="K535" s="226">
        <v>292358</v>
      </c>
      <c r="L535" s="226">
        <v>428462</v>
      </c>
      <c r="M535" s="226">
        <v>507593</v>
      </c>
      <c r="N535" s="227">
        <v>405672.6</v>
      </c>
    </row>
    <row r="536" spans="1:14">
      <c r="A536" s="225" t="s">
        <v>583</v>
      </c>
      <c r="B536" s="225" t="s">
        <v>584</v>
      </c>
      <c r="C536" s="225">
        <v>100</v>
      </c>
      <c r="D536" s="225" t="s">
        <v>585</v>
      </c>
      <c r="E536" s="225">
        <v>50</v>
      </c>
      <c r="F536" s="225" t="s">
        <v>53</v>
      </c>
      <c r="G536" s="225">
        <v>5</v>
      </c>
      <c r="H536" s="225" t="s">
        <v>349</v>
      </c>
      <c r="I536" s="225" t="s">
        <v>586</v>
      </c>
      <c r="J536" s="228">
        <v>302</v>
      </c>
      <c r="K536" s="226">
        <v>202773</v>
      </c>
      <c r="L536" s="226">
        <v>273993</v>
      </c>
      <c r="M536" s="226">
        <v>325761</v>
      </c>
      <c r="N536" s="227">
        <v>258882</v>
      </c>
    </row>
    <row r="537" spans="1:14">
      <c r="A537" s="225" t="s">
        <v>583</v>
      </c>
      <c r="B537" s="225" t="s">
        <v>584</v>
      </c>
      <c r="C537" s="225">
        <v>100</v>
      </c>
      <c r="D537" s="225" t="s">
        <v>585</v>
      </c>
      <c r="E537" s="225">
        <v>50</v>
      </c>
      <c r="F537" s="225" t="s">
        <v>53</v>
      </c>
      <c r="G537" s="225">
        <v>4</v>
      </c>
      <c r="H537" s="225" t="s">
        <v>382</v>
      </c>
      <c r="I537" s="225" t="s">
        <v>586</v>
      </c>
      <c r="J537" s="226">
        <v>2296</v>
      </c>
      <c r="K537" s="226">
        <v>273981</v>
      </c>
      <c r="L537" s="226">
        <v>298248</v>
      </c>
      <c r="M537" s="226">
        <v>330276</v>
      </c>
      <c r="N537" s="227">
        <v>303863.7</v>
      </c>
    </row>
    <row r="538" spans="1:14">
      <c r="A538" s="225" t="s">
        <v>583</v>
      </c>
      <c r="B538" s="225" t="s">
        <v>584</v>
      </c>
      <c r="C538" s="225">
        <v>100</v>
      </c>
      <c r="D538" s="225" t="s">
        <v>585</v>
      </c>
      <c r="E538" s="225">
        <v>50</v>
      </c>
      <c r="F538" s="225" t="s">
        <v>53</v>
      </c>
      <c r="G538" s="225">
        <v>3</v>
      </c>
      <c r="H538" s="225" t="s">
        <v>383</v>
      </c>
      <c r="I538" s="225" t="s">
        <v>586</v>
      </c>
      <c r="J538" s="228">
        <v>837</v>
      </c>
      <c r="K538" s="226">
        <v>297322</v>
      </c>
      <c r="L538" s="226">
        <v>324966</v>
      </c>
      <c r="M538" s="226">
        <v>361302</v>
      </c>
      <c r="N538" s="227">
        <v>332922.09999999998</v>
      </c>
    </row>
    <row r="539" spans="1:14">
      <c r="A539" s="225" t="s">
        <v>583</v>
      </c>
      <c r="B539" s="225" t="s">
        <v>584</v>
      </c>
      <c r="C539" s="225">
        <v>100</v>
      </c>
      <c r="D539" s="225" t="s">
        <v>585</v>
      </c>
      <c r="E539" s="225">
        <v>50</v>
      </c>
      <c r="F539" s="225" t="s">
        <v>53</v>
      </c>
      <c r="G539" s="225">
        <v>2</v>
      </c>
      <c r="H539" s="225" t="s">
        <v>352</v>
      </c>
      <c r="I539" s="225" t="s">
        <v>586</v>
      </c>
      <c r="J539" s="228">
        <v>407</v>
      </c>
      <c r="K539" s="226">
        <v>320492</v>
      </c>
      <c r="L539" s="226">
        <v>352169</v>
      </c>
      <c r="M539" s="226">
        <v>404004</v>
      </c>
      <c r="N539" s="227">
        <v>366629.8</v>
      </c>
    </row>
    <row r="540" spans="1:14">
      <c r="A540" s="225" t="s">
        <v>583</v>
      </c>
      <c r="B540" s="225" t="s">
        <v>584</v>
      </c>
      <c r="C540" s="225">
        <v>100</v>
      </c>
      <c r="D540" s="225" t="s">
        <v>585</v>
      </c>
      <c r="E540" s="225">
        <v>50</v>
      </c>
      <c r="F540" s="225" t="s">
        <v>53</v>
      </c>
      <c r="G540" s="225">
        <v>6</v>
      </c>
      <c r="H540" s="225" t="s">
        <v>385</v>
      </c>
      <c r="I540" s="225" t="s">
        <v>586</v>
      </c>
      <c r="J540" s="228">
        <v>28</v>
      </c>
      <c r="K540" s="226">
        <v>341987</v>
      </c>
      <c r="L540" s="226">
        <v>387426</v>
      </c>
      <c r="M540" s="226">
        <v>439919</v>
      </c>
      <c r="N540" s="227">
        <v>414223.3</v>
      </c>
    </row>
    <row r="541" spans="1:14">
      <c r="A541" s="225" t="s">
        <v>583</v>
      </c>
      <c r="B541" s="225" t="s">
        <v>584</v>
      </c>
      <c r="C541" s="225">
        <v>100</v>
      </c>
      <c r="D541" s="225" t="s">
        <v>585</v>
      </c>
      <c r="E541" s="225">
        <v>50</v>
      </c>
      <c r="F541" s="225" t="s">
        <v>53</v>
      </c>
      <c r="G541" s="225">
        <v>1</v>
      </c>
      <c r="H541" s="225" t="s">
        <v>384</v>
      </c>
      <c r="I541" s="225" t="s">
        <v>586</v>
      </c>
      <c r="J541" s="228">
        <v>77</v>
      </c>
      <c r="K541" s="226">
        <v>524906</v>
      </c>
      <c r="L541" s="226">
        <v>633935</v>
      </c>
      <c r="M541" s="226">
        <v>693855</v>
      </c>
      <c r="N541" s="227">
        <v>627141.4</v>
      </c>
    </row>
    <row r="542" spans="1:14">
      <c r="A542" s="225" t="s">
        <v>583</v>
      </c>
      <c r="B542" s="225" t="s">
        <v>584</v>
      </c>
      <c r="C542" s="225">
        <v>100</v>
      </c>
      <c r="D542" s="225" t="s">
        <v>585</v>
      </c>
      <c r="E542" s="225">
        <v>25</v>
      </c>
      <c r="F542" s="225" t="s">
        <v>72</v>
      </c>
      <c r="G542" s="225">
        <v>5</v>
      </c>
      <c r="H542" s="225" t="s">
        <v>349</v>
      </c>
      <c r="I542" s="225" t="s">
        <v>586</v>
      </c>
      <c r="J542" s="228">
        <v>154</v>
      </c>
      <c r="K542" s="226">
        <v>128971</v>
      </c>
      <c r="L542" s="226">
        <v>166053</v>
      </c>
      <c r="M542" s="226">
        <v>214789</v>
      </c>
      <c r="N542" s="227">
        <v>175162.7</v>
      </c>
    </row>
    <row r="543" spans="1:14">
      <c r="A543" s="225" t="s">
        <v>583</v>
      </c>
      <c r="B543" s="225" t="s">
        <v>584</v>
      </c>
      <c r="C543" s="225">
        <v>100</v>
      </c>
      <c r="D543" s="225" t="s">
        <v>585</v>
      </c>
      <c r="E543" s="225">
        <v>25</v>
      </c>
      <c r="F543" s="225" t="s">
        <v>72</v>
      </c>
      <c r="G543" s="225">
        <v>4</v>
      </c>
      <c r="H543" s="225" t="s">
        <v>382</v>
      </c>
      <c r="I543" s="225" t="s">
        <v>586</v>
      </c>
      <c r="J543" s="226">
        <v>1697</v>
      </c>
      <c r="K543" s="226">
        <v>198035</v>
      </c>
      <c r="L543" s="226">
        <v>225724</v>
      </c>
      <c r="M543" s="226">
        <v>271028</v>
      </c>
      <c r="N543" s="227">
        <v>243302.1</v>
      </c>
    </row>
    <row r="544" spans="1:14">
      <c r="A544" s="225" t="s">
        <v>583</v>
      </c>
      <c r="B544" s="225" t="s">
        <v>584</v>
      </c>
      <c r="C544" s="225">
        <v>100</v>
      </c>
      <c r="D544" s="225" t="s">
        <v>585</v>
      </c>
      <c r="E544" s="225">
        <v>25</v>
      </c>
      <c r="F544" s="225" t="s">
        <v>72</v>
      </c>
      <c r="G544" s="225">
        <v>3</v>
      </c>
      <c r="H544" s="225" t="s">
        <v>383</v>
      </c>
      <c r="I544" s="225" t="s">
        <v>586</v>
      </c>
      <c r="J544" s="228">
        <v>837</v>
      </c>
      <c r="K544" s="226">
        <v>220725</v>
      </c>
      <c r="L544" s="226">
        <v>251559</v>
      </c>
      <c r="M544" s="226">
        <v>304900</v>
      </c>
      <c r="N544" s="227">
        <v>274682.40000000002</v>
      </c>
    </row>
    <row r="545" spans="1:14">
      <c r="A545" s="225" t="s">
        <v>583</v>
      </c>
      <c r="B545" s="225" t="s">
        <v>584</v>
      </c>
      <c r="C545" s="225">
        <v>100</v>
      </c>
      <c r="D545" s="225" t="s">
        <v>585</v>
      </c>
      <c r="E545" s="225">
        <v>25</v>
      </c>
      <c r="F545" s="225" t="s">
        <v>72</v>
      </c>
      <c r="G545" s="225">
        <v>2</v>
      </c>
      <c r="H545" s="225" t="s">
        <v>352</v>
      </c>
      <c r="I545" s="225" t="s">
        <v>586</v>
      </c>
      <c r="J545" s="228">
        <v>769</v>
      </c>
      <c r="K545" s="226">
        <v>250000</v>
      </c>
      <c r="L545" s="226">
        <v>285896</v>
      </c>
      <c r="M545" s="226">
        <v>349252</v>
      </c>
      <c r="N545" s="227">
        <v>311585.59999999998</v>
      </c>
    </row>
    <row r="546" spans="1:14">
      <c r="A546" s="225" t="s">
        <v>583</v>
      </c>
      <c r="B546" s="225" t="s">
        <v>584</v>
      </c>
      <c r="C546" s="225">
        <v>100</v>
      </c>
      <c r="D546" s="225" t="s">
        <v>585</v>
      </c>
      <c r="E546" s="225">
        <v>25</v>
      </c>
      <c r="F546" s="225" t="s">
        <v>72</v>
      </c>
      <c r="G546" s="225">
        <v>6</v>
      </c>
      <c r="H546" s="225" t="s">
        <v>385</v>
      </c>
      <c r="I546" s="225" t="s">
        <v>586</v>
      </c>
      <c r="J546" s="228">
        <v>138</v>
      </c>
      <c r="K546" s="226">
        <v>290772</v>
      </c>
      <c r="L546" s="226">
        <v>322650</v>
      </c>
      <c r="M546" s="226">
        <v>374378</v>
      </c>
      <c r="N546" s="227">
        <v>344378.6</v>
      </c>
    </row>
    <row r="547" spans="1:14">
      <c r="A547" s="225" t="s">
        <v>583</v>
      </c>
      <c r="B547" s="225" t="s">
        <v>584</v>
      </c>
      <c r="C547" s="225">
        <v>100</v>
      </c>
      <c r="D547" s="225" t="s">
        <v>585</v>
      </c>
      <c r="E547" s="225">
        <v>25</v>
      </c>
      <c r="F547" s="225" t="s">
        <v>72</v>
      </c>
      <c r="G547" s="225">
        <v>1</v>
      </c>
      <c r="H547" s="225" t="s">
        <v>384</v>
      </c>
      <c r="I547" s="225" t="s">
        <v>586</v>
      </c>
      <c r="J547" s="228">
        <v>98</v>
      </c>
      <c r="K547" s="226">
        <v>452681</v>
      </c>
      <c r="L547" s="226">
        <v>505777</v>
      </c>
      <c r="M547" s="226">
        <v>600583</v>
      </c>
      <c r="N547" s="227">
        <v>553534.30000000005</v>
      </c>
    </row>
    <row r="548" spans="1:14">
      <c r="A548" s="225" t="s">
        <v>583</v>
      </c>
      <c r="B548" s="225" t="s">
        <v>584</v>
      </c>
      <c r="C548" s="225">
        <v>100</v>
      </c>
      <c r="D548" s="225" t="s">
        <v>585</v>
      </c>
      <c r="E548" s="225">
        <v>27</v>
      </c>
      <c r="F548" s="225" t="s">
        <v>82</v>
      </c>
      <c r="G548" s="225">
        <v>5</v>
      </c>
      <c r="H548" s="225" t="s">
        <v>349</v>
      </c>
      <c r="I548" s="225" t="s">
        <v>586</v>
      </c>
      <c r="J548" s="228">
        <v>86</v>
      </c>
      <c r="K548" s="226">
        <v>66400</v>
      </c>
      <c r="L548" s="226">
        <v>87259</v>
      </c>
      <c r="M548" s="226">
        <v>154225</v>
      </c>
      <c r="N548" s="227">
        <v>119476.3</v>
      </c>
    </row>
    <row r="549" spans="1:14">
      <c r="A549" s="225" t="s">
        <v>583</v>
      </c>
      <c r="B549" s="225" t="s">
        <v>584</v>
      </c>
      <c r="C549" s="225">
        <v>100</v>
      </c>
      <c r="D549" s="225" t="s">
        <v>585</v>
      </c>
      <c r="E549" s="225">
        <v>27</v>
      </c>
      <c r="F549" s="225" t="s">
        <v>82</v>
      </c>
      <c r="G549" s="225">
        <v>4</v>
      </c>
      <c r="H549" s="225" t="s">
        <v>382</v>
      </c>
      <c r="I549" s="225" t="s">
        <v>586</v>
      </c>
      <c r="J549" s="228">
        <v>695</v>
      </c>
      <c r="K549" s="226">
        <v>229500</v>
      </c>
      <c r="L549" s="226">
        <v>277958</v>
      </c>
      <c r="M549" s="226">
        <v>344000</v>
      </c>
      <c r="N549" s="227">
        <v>301529.59999999998</v>
      </c>
    </row>
    <row r="550" spans="1:14">
      <c r="A550" s="225" t="s">
        <v>583</v>
      </c>
      <c r="B550" s="225" t="s">
        <v>584</v>
      </c>
      <c r="C550" s="225">
        <v>100</v>
      </c>
      <c r="D550" s="225" t="s">
        <v>585</v>
      </c>
      <c r="E550" s="225">
        <v>27</v>
      </c>
      <c r="F550" s="225" t="s">
        <v>82</v>
      </c>
      <c r="G550" s="225">
        <v>3</v>
      </c>
      <c r="H550" s="225" t="s">
        <v>383</v>
      </c>
      <c r="I550" s="225" t="s">
        <v>586</v>
      </c>
      <c r="J550" s="228">
        <v>394</v>
      </c>
      <c r="K550" s="226">
        <v>262500</v>
      </c>
      <c r="L550" s="226">
        <v>333828</v>
      </c>
      <c r="M550" s="226">
        <v>446040</v>
      </c>
      <c r="N550" s="227">
        <v>368451.6</v>
      </c>
    </row>
    <row r="551" spans="1:14">
      <c r="A551" s="225" t="s">
        <v>583</v>
      </c>
      <c r="B551" s="225" t="s">
        <v>584</v>
      </c>
      <c r="C551" s="225">
        <v>100</v>
      </c>
      <c r="D551" s="225" t="s">
        <v>585</v>
      </c>
      <c r="E551" s="225">
        <v>27</v>
      </c>
      <c r="F551" s="225" t="s">
        <v>82</v>
      </c>
      <c r="G551" s="225">
        <v>2</v>
      </c>
      <c r="H551" s="225" t="s">
        <v>352</v>
      </c>
      <c r="I551" s="225" t="s">
        <v>586</v>
      </c>
      <c r="J551" s="228">
        <v>411</v>
      </c>
      <c r="K551" s="226">
        <v>299928</v>
      </c>
      <c r="L551" s="226">
        <v>379045</v>
      </c>
      <c r="M551" s="226">
        <v>502986</v>
      </c>
      <c r="N551" s="227">
        <v>416592.2</v>
      </c>
    </row>
    <row r="552" spans="1:14">
      <c r="A552" s="225" t="s">
        <v>583</v>
      </c>
      <c r="B552" s="225" t="s">
        <v>584</v>
      </c>
      <c r="C552" s="225">
        <v>100</v>
      </c>
      <c r="D552" s="225" t="s">
        <v>585</v>
      </c>
      <c r="E552" s="225">
        <v>27</v>
      </c>
      <c r="F552" s="225" t="s">
        <v>82</v>
      </c>
      <c r="G552" s="225">
        <v>6</v>
      </c>
      <c r="H552" s="225" t="s">
        <v>385</v>
      </c>
      <c r="I552" s="225" t="s">
        <v>586</v>
      </c>
      <c r="J552" s="228">
        <v>25</v>
      </c>
      <c r="K552" s="226">
        <v>395934</v>
      </c>
      <c r="L552" s="226">
        <v>484756</v>
      </c>
      <c r="M552" s="226">
        <v>577144</v>
      </c>
      <c r="N552" s="227">
        <v>521887</v>
      </c>
    </row>
    <row r="553" spans="1:14">
      <c r="A553" s="225" t="s">
        <v>583</v>
      </c>
      <c r="B553" s="225" t="s">
        <v>584</v>
      </c>
      <c r="C553" s="225">
        <v>100</v>
      </c>
      <c r="D553" s="225" t="s">
        <v>585</v>
      </c>
      <c r="E553" s="225">
        <v>27</v>
      </c>
      <c r="F553" s="225" t="s">
        <v>82</v>
      </c>
      <c r="G553" s="225">
        <v>1</v>
      </c>
      <c r="H553" s="225" t="s">
        <v>384</v>
      </c>
      <c r="I553" s="225" t="s">
        <v>586</v>
      </c>
      <c r="J553" s="228">
        <v>71</v>
      </c>
      <c r="K553" s="226">
        <v>554136</v>
      </c>
      <c r="L553" s="226">
        <v>650260</v>
      </c>
      <c r="M553" s="226">
        <v>773676</v>
      </c>
      <c r="N553" s="227">
        <v>699997.1</v>
      </c>
    </row>
    <row r="554" spans="1:14">
      <c r="A554" s="225" t="s">
        <v>583</v>
      </c>
      <c r="B554" s="225" t="s">
        <v>584</v>
      </c>
      <c r="C554" s="225">
        <v>100</v>
      </c>
      <c r="D554" s="225" t="s">
        <v>585</v>
      </c>
      <c r="E554" s="225">
        <v>28</v>
      </c>
      <c r="F554" s="225" t="s">
        <v>541</v>
      </c>
      <c r="G554" s="225">
        <v>5</v>
      </c>
      <c r="H554" s="225" t="s">
        <v>349</v>
      </c>
      <c r="I554" s="225" t="s">
        <v>586</v>
      </c>
      <c r="J554" s="228">
        <v>57</v>
      </c>
      <c r="K554" s="226">
        <v>71724</v>
      </c>
      <c r="L554" s="226">
        <v>75129</v>
      </c>
      <c r="M554" s="226">
        <v>120000</v>
      </c>
      <c r="N554" s="227">
        <v>150505.9</v>
      </c>
    </row>
    <row r="555" spans="1:14">
      <c r="A555" s="225" t="s">
        <v>583</v>
      </c>
      <c r="B555" s="225" t="s">
        <v>584</v>
      </c>
      <c r="C555" s="225">
        <v>100</v>
      </c>
      <c r="D555" s="225" t="s">
        <v>585</v>
      </c>
      <c r="E555" s="225">
        <v>28</v>
      </c>
      <c r="F555" s="225" t="s">
        <v>541</v>
      </c>
      <c r="G555" s="225">
        <v>4</v>
      </c>
      <c r="H555" s="225" t="s">
        <v>382</v>
      </c>
      <c r="I555" s="225" t="s">
        <v>586</v>
      </c>
      <c r="J555" s="228">
        <v>632</v>
      </c>
      <c r="K555" s="226">
        <v>300000</v>
      </c>
      <c r="L555" s="226">
        <v>342299</v>
      </c>
      <c r="M555" s="226">
        <v>413202</v>
      </c>
      <c r="N555" s="227">
        <v>377798.8</v>
      </c>
    </row>
    <row r="556" spans="1:14">
      <c r="A556" s="225" t="s">
        <v>583</v>
      </c>
      <c r="B556" s="225" t="s">
        <v>584</v>
      </c>
      <c r="C556" s="225">
        <v>100</v>
      </c>
      <c r="D556" s="225" t="s">
        <v>585</v>
      </c>
      <c r="E556" s="225">
        <v>28</v>
      </c>
      <c r="F556" s="225" t="s">
        <v>541</v>
      </c>
      <c r="G556" s="225">
        <v>3</v>
      </c>
      <c r="H556" s="225" t="s">
        <v>383</v>
      </c>
      <c r="I556" s="225" t="s">
        <v>586</v>
      </c>
      <c r="J556" s="228">
        <v>424</v>
      </c>
      <c r="K556" s="226">
        <v>363445</v>
      </c>
      <c r="L556" s="226">
        <v>425514</v>
      </c>
      <c r="M556" s="226">
        <v>522792</v>
      </c>
      <c r="N556" s="227">
        <v>474069.8</v>
      </c>
    </row>
    <row r="557" spans="1:14">
      <c r="A557" s="225" t="s">
        <v>583</v>
      </c>
      <c r="B557" s="225" t="s">
        <v>584</v>
      </c>
      <c r="C557" s="225">
        <v>100</v>
      </c>
      <c r="D557" s="225" t="s">
        <v>585</v>
      </c>
      <c r="E557" s="225">
        <v>28</v>
      </c>
      <c r="F557" s="225" t="s">
        <v>541</v>
      </c>
      <c r="G557" s="225">
        <v>2</v>
      </c>
      <c r="H557" s="225" t="s">
        <v>352</v>
      </c>
      <c r="I557" s="225" t="s">
        <v>586</v>
      </c>
      <c r="J557" s="228">
        <v>309</v>
      </c>
      <c r="K557" s="226">
        <v>398911</v>
      </c>
      <c r="L557" s="226">
        <v>475900</v>
      </c>
      <c r="M557" s="226">
        <v>610392</v>
      </c>
      <c r="N557" s="227">
        <v>527178.69999999995</v>
      </c>
    </row>
    <row r="558" spans="1:14">
      <c r="A558" s="225" t="s">
        <v>583</v>
      </c>
      <c r="B558" s="225" t="s">
        <v>584</v>
      </c>
      <c r="C558" s="225">
        <v>100</v>
      </c>
      <c r="D558" s="225" t="s">
        <v>585</v>
      </c>
      <c r="E558" s="225">
        <v>28</v>
      </c>
      <c r="F558" s="225" t="s">
        <v>541</v>
      </c>
      <c r="G558" s="225">
        <v>6</v>
      </c>
      <c r="H558" s="225" t="s">
        <v>385</v>
      </c>
      <c r="I558" s="225" t="s">
        <v>586</v>
      </c>
      <c r="J558" s="228">
        <v>65</v>
      </c>
      <c r="K558" s="226">
        <v>395599</v>
      </c>
      <c r="L558" s="226">
        <v>465000</v>
      </c>
      <c r="M558" s="226">
        <v>522424</v>
      </c>
      <c r="N558" s="227">
        <v>534081.30000000005</v>
      </c>
    </row>
    <row r="559" spans="1:14">
      <c r="A559" s="225" t="s">
        <v>583</v>
      </c>
      <c r="B559" s="225" t="s">
        <v>584</v>
      </c>
      <c r="C559" s="225">
        <v>100</v>
      </c>
      <c r="D559" s="225" t="s">
        <v>585</v>
      </c>
      <c r="E559" s="225">
        <v>28</v>
      </c>
      <c r="F559" s="225" t="s">
        <v>541</v>
      </c>
      <c r="G559" s="225">
        <v>1</v>
      </c>
      <c r="H559" s="225" t="s">
        <v>384</v>
      </c>
      <c r="I559" s="225" t="s">
        <v>586</v>
      </c>
      <c r="J559" s="228">
        <v>69</v>
      </c>
      <c r="K559" s="226">
        <v>649859</v>
      </c>
      <c r="L559" s="226">
        <v>776792</v>
      </c>
      <c r="M559" s="226">
        <v>899632</v>
      </c>
      <c r="N559" s="227">
        <v>855369.5</v>
      </c>
    </row>
    <row r="560" spans="1:14">
      <c r="A560" s="225" t="s">
        <v>583</v>
      </c>
      <c r="B560" s="225" t="s">
        <v>584</v>
      </c>
      <c r="C560" s="225">
        <v>100</v>
      </c>
      <c r="D560" s="225" t="s">
        <v>585</v>
      </c>
      <c r="E560" s="225">
        <v>44</v>
      </c>
      <c r="F560" s="225" t="s">
        <v>545</v>
      </c>
      <c r="G560" s="225">
        <v>5</v>
      </c>
      <c r="H560" s="225" t="s">
        <v>349</v>
      </c>
      <c r="I560" s="225" t="s">
        <v>586</v>
      </c>
      <c r="J560" s="228">
        <v>33</v>
      </c>
      <c r="K560" s="226">
        <v>175390</v>
      </c>
      <c r="L560" s="226">
        <v>210000</v>
      </c>
      <c r="M560" s="226">
        <v>261494</v>
      </c>
      <c r="N560" s="227">
        <v>214327.3</v>
      </c>
    </row>
    <row r="561" spans="1:14">
      <c r="A561" s="225" t="s">
        <v>583</v>
      </c>
      <c r="B561" s="225" t="s">
        <v>584</v>
      </c>
      <c r="C561" s="225">
        <v>100</v>
      </c>
      <c r="D561" s="225" t="s">
        <v>585</v>
      </c>
      <c r="E561" s="225">
        <v>44</v>
      </c>
      <c r="F561" s="225" t="s">
        <v>545</v>
      </c>
      <c r="G561" s="225">
        <v>4</v>
      </c>
      <c r="H561" s="225" t="s">
        <v>382</v>
      </c>
      <c r="I561" s="225" t="s">
        <v>586</v>
      </c>
      <c r="J561" s="228">
        <v>537</v>
      </c>
      <c r="K561" s="226">
        <v>208072</v>
      </c>
      <c r="L561" s="226">
        <v>233302</v>
      </c>
      <c r="M561" s="226">
        <v>278693</v>
      </c>
      <c r="N561" s="227">
        <v>258746.2</v>
      </c>
    </row>
    <row r="562" spans="1:14">
      <c r="A562" s="225" t="s">
        <v>583</v>
      </c>
      <c r="B562" s="225" t="s">
        <v>584</v>
      </c>
      <c r="C562" s="225">
        <v>100</v>
      </c>
      <c r="D562" s="225" t="s">
        <v>585</v>
      </c>
      <c r="E562" s="225">
        <v>44</v>
      </c>
      <c r="F562" s="225" t="s">
        <v>545</v>
      </c>
      <c r="G562" s="225">
        <v>3</v>
      </c>
      <c r="H562" s="225" t="s">
        <v>383</v>
      </c>
      <c r="I562" s="225" t="s">
        <v>586</v>
      </c>
      <c r="J562" s="228">
        <v>162</v>
      </c>
      <c r="K562" s="226">
        <v>219800</v>
      </c>
      <c r="L562" s="226">
        <v>270781</v>
      </c>
      <c r="M562" s="226">
        <v>323550</v>
      </c>
      <c r="N562" s="227">
        <v>278763.40000000002</v>
      </c>
    </row>
    <row r="563" spans="1:14">
      <c r="A563" s="225" t="s">
        <v>583</v>
      </c>
      <c r="B563" s="225" t="s">
        <v>584</v>
      </c>
      <c r="C563" s="225">
        <v>100</v>
      </c>
      <c r="D563" s="225" t="s">
        <v>585</v>
      </c>
      <c r="E563" s="225">
        <v>44</v>
      </c>
      <c r="F563" s="225" t="s">
        <v>545</v>
      </c>
      <c r="G563" s="225">
        <v>2</v>
      </c>
      <c r="H563" s="225" t="s">
        <v>352</v>
      </c>
      <c r="I563" s="225" t="s">
        <v>586</v>
      </c>
      <c r="J563" s="228">
        <v>89</v>
      </c>
      <c r="K563" s="226">
        <v>254080</v>
      </c>
      <c r="L563" s="226">
        <v>282909</v>
      </c>
      <c r="M563" s="226">
        <v>349592</v>
      </c>
      <c r="N563" s="227">
        <v>298159</v>
      </c>
    </row>
    <row r="564" spans="1:14">
      <c r="A564" s="225" t="s">
        <v>583</v>
      </c>
      <c r="B564" s="225" t="s">
        <v>584</v>
      </c>
      <c r="C564" s="225">
        <v>100</v>
      </c>
      <c r="D564" s="225" t="s">
        <v>585</v>
      </c>
      <c r="E564" s="225">
        <v>44</v>
      </c>
      <c r="F564" s="225" t="s">
        <v>545</v>
      </c>
      <c r="G564" s="225">
        <v>6</v>
      </c>
      <c r="H564" s="225" t="s">
        <v>385</v>
      </c>
      <c r="I564" s="225" t="s">
        <v>586</v>
      </c>
      <c r="J564" s="228">
        <v>8</v>
      </c>
      <c r="K564" s="226">
        <v>245613</v>
      </c>
      <c r="L564" s="226">
        <v>333959</v>
      </c>
      <c r="M564" s="226">
        <v>399047</v>
      </c>
      <c r="N564" s="227">
        <v>328720.59999999998</v>
      </c>
    </row>
    <row r="565" spans="1:14">
      <c r="A565" s="225" t="s">
        <v>583</v>
      </c>
      <c r="B565" s="225" t="s">
        <v>584</v>
      </c>
      <c r="C565" s="225">
        <v>100</v>
      </c>
      <c r="D565" s="225" t="s">
        <v>585</v>
      </c>
      <c r="E565" s="225">
        <v>44</v>
      </c>
      <c r="F565" s="225" t="s">
        <v>545</v>
      </c>
      <c r="G565" s="225">
        <v>1</v>
      </c>
      <c r="H565" s="225" t="s">
        <v>384</v>
      </c>
      <c r="I565" s="225" t="s">
        <v>586</v>
      </c>
      <c r="J565" s="228">
        <v>40</v>
      </c>
      <c r="K565" s="226">
        <v>407898</v>
      </c>
      <c r="L565" s="226">
        <v>456640</v>
      </c>
      <c r="M565" s="226">
        <v>564437</v>
      </c>
      <c r="N565" s="227">
        <v>486657.3</v>
      </c>
    </row>
    <row r="566" spans="1:14">
      <c r="A566" s="225" t="s">
        <v>583</v>
      </c>
      <c r="B566" s="225" t="s">
        <v>584</v>
      </c>
      <c r="C566" s="225">
        <v>100</v>
      </c>
      <c r="D566" s="225" t="s">
        <v>585</v>
      </c>
      <c r="E566" s="225">
        <v>45</v>
      </c>
      <c r="F566" s="225" t="s">
        <v>547</v>
      </c>
      <c r="G566" s="225">
        <v>5</v>
      </c>
      <c r="H566" s="225" t="s">
        <v>349</v>
      </c>
      <c r="I566" s="225" t="s">
        <v>586</v>
      </c>
      <c r="J566" s="228">
        <v>3</v>
      </c>
      <c r="K566" s="228"/>
      <c r="L566" s="228"/>
      <c r="M566" s="228"/>
      <c r="N566" s="228"/>
    </row>
    <row r="567" spans="1:14">
      <c r="A567" s="225" t="s">
        <v>583</v>
      </c>
      <c r="B567" s="225" t="s">
        <v>584</v>
      </c>
      <c r="C567" s="225">
        <v>100</v>
      </c>
      <c r="D567" s="225" t="s">
        <v>585</v>
      </c>
      <c r="E567" s="225">
        <v>45</v>
      </c>
      <c r="F567" s="225" t="s">
        <v>547</v>
      </c>
      <c r="G567" s="225">
        <v>4</v>
      </c>
      <c r="H567" s="225" t="s">
        <v>382</v>
      </c>
      <c r="I567" s="225" t="s">
        <v>586</v>
      </c>
      <c r="J567" s="228">
        <v>42</v>
      </c>
      <c r="K567" s="226">
        <v>133526</v>
      </c>
      <c r="L567" s="226">
        <v>183312</v>
      </c>
      <c r="M567" s="226">
        <v>232392</v>
      </c>
      <c r="N567" s="227">
        <v>180224.8</v>
      </c>
    </row>
    <row r="568" spans="1:14">
      <c r="A568" s="225" t="s">
        <v>583</v>
      </c>
      <c r="B568" s="225" t="s">
        <v>584</v>
      </c>
      <c r="C568" s="225">
        <v>100</v>
      </c>
      <c r="D568" s="225" t="s">
        <v>585</v>
      </c>
      <c r="E568" s="225">
        <v>45</v>
      </c>
      <c r="F568" s="225" t="s">
        <v>547</v>
      </c>
      <c r="G568" s="225">
        <v>3</v>
      </c>
      <c r="H568" s="225" t="s">
        <v>383</v>
      </c>
      <c r="I568" s="225" t="s">
        <v>586</v>
      </c>
      <c r="J568" s="228">
        <v>34</v>
      </c>
      <c r="K568" s="226">
        <v>162177</v>
      </c>
      <c r="L568" s="226">
        <v>219839</v>
      </c>
      <c r="M568" s="226">
        <v>257104</v>
      </c>
      <c r="N568" s="227">
        <v>213214.2</v>
      </c>
    </row>
    <row r="569" spans="1:14">
      <c r="A569" s="225" t="s">
        <v>583</v>
      </c>
      <c r="B569" s="225" t="s">
        <v>584</v>
      </c>
      <c r="C569" s="225">
        <v>100</v>
      </c>
      <c r="D569" s="225" t="s">
        <v>585</v>
      </c>
      <c r="E569" s="225">
        <v>45</v>
      </c>
      <c r="F569" s="225" t="s">
        <v>547</v>
      </c>
      <c r="G569" s="225">
        <v>2</v>
      </c>
      <c r="H569" s="225" t="s">
        <v>352</v>
      </c>
      <c r="I569" s="225" t="s">
        <v>586</v>
      </c>
      <c r="J569" s="228">
        <v>36</v>
      </c>
      <c r="K569" s="226">
        <v>214654</v>
      </c>
      <c r="L569" s="226">
        <v>251944</v>
      </c>
      <c r="M569" s="226">
        <v>315522</v>
      </c>
      <c r="N569" s="227">
        <v>259313.9</v>
      </c>
    </row>
    <row r="570" spans="1:14">
      <c r="A570" s="225" t="s">
        <v>583</v>
      </c>
      <c r="B570" s="225" t="s">
        <v>584</v>
      </c>
      <c r="C570" s="225">
        <v>100</v>
      </c>
      <c r="D570" s="225" t="s">
        <v>585</v>
      </c>
      <c r="E570" s="225">
        <v>45</v>
      </c>
      <c r="F570" s="225" t="s">
        <v>547</v>
      </c>
      <c r="G570" s="225">
        <v>6</v>
      </c>
      <c r="H570" s="225" t="s">
        <v>385</v>
      </c>
      <c r="I570" s="225" t="s">
        <v>586</v>
      </c>
      <c r="J570" s="228">
        <v>5</v>
      </c>
      <c r="K570" s="226">
        <v>239165</v>
      </c>
      <c r="L570" s="226">
        <v>283006</v>
      </c>
      <c r="M570" s="226">
        <v>417983</v>
      </c>
      <c r="N570" s="227">
        <v>319460.2</v>
      </c>
    </row>
    <row r="571" spans="1:14">
      <c r="A571" s="225" t="s">
        <v>583</v>
      </c>
      <c r="B571" s="225" t="s">
        <v>584</v>
      </c>
      <c r="C571" s="225">
        <v>100</v>
      </c>
      <c r="D571" s="225" t="s">
        <v>585</v>
      </c>
      <c r="E571" s="225">
        <v>45</v>
      </c>
      <c r="F571" s="225" t="s">
        <v>547</v>
      </c>
      <c r="G571" s="225">
        <v>1</v>
      </c>
      <c r="H571" s="225" t="s">
        <v>384</v>
      </c>
      <c r="I571" s="225" t="s">
        <v>586</v>
      </c>
      <c r="J571" s="228">
        <v>6</v>
      </c>
      <c r="K571" s="226">
        <v>342100</v>
      </c>
      <c r="L571" s="226">
        <v>415855</v>
      </c>
      <c r="M571" s="226">
        <v>459150</v>
      </c>
      <c r="N571" s="227">
        <v>419519.8</v>
      </c>
    </row>
    <row r="572" spans="1:14">
      <c r="A572" s="225" t="s">
        <v>583</v>
      </c>
      <c r="B572" s="225" t="s">
        <v>584</v>
      </c>
      <c r="C572" s="225">
        <v>100</v>
      </c>
      <c r="D572" s="225" t="s">
        <v>585</v>
      </c>
      <c r="E572" s="225">
        <v>62</v>
      </c>
      <c r="F572" s="225" t="s">
        <v>1</v>
      </c>
      <c r="G572" s="225">
        <v>5</v>
      </c>
      <c r="H572" s="225" t="s">
        <v>349</v>
      </c>
      <c r="I572" s="225" t="s">
        <v>586</v>
      </c>
      <c r="J572" s="228">
        <v>13</v>
      </c>
      <c r="K572" s="226">
        <v>93095</v>
      </c>
      <c r="L572" s="226">
        <v>116250</v>
      </c>
      <c r="M572" s="226">
        <v>139958</v>
      </c>
      <c r="N572" s="227">
        <v>137989.4</v>
      </c>
    </row>
    <row r="573" spans="1:14">
      <c r="A573" s="225" t="s">
        <v>583</v>
      </c>
      <c r="B573" s="225" t="s">
        <v>584</v>
      </c>
      <c r="C573" s="225">
        <v>100</v>
      </c>
      <c r="D573" s="225" t="s">
        <v>585</v>
      </c>
      <c r="E573" s="225">
        <v>62</v>
      </c>
      <c r="F573" s="225" t="s">
        <v>1</v>
      </c>
      <c r="G573" s="225">
        <v>4</v>
      </c>
      <c r="H573" s="225" t="s">
        <v>382</v>
      </c>
      <c r="I573" s="225" t="s">
        <v>586</v>
      </c>
      <c r="J573" s="228">
        <v>156</v>
      </c>
      <c r="K573" s="226">
        <v>187706</v>
      </c>
      <c r="L573" s="226">
        <v>267051</v>
      </c>
      <c r="M573" s="226">
        <v>518888</v>
      </c>
      <c r="N573" s="227">
        <v>364929.7</v>
      </c>
    </row>
    <row r="574" spans="1:14">
      <c r="A574" s="225" t="s">
        <v>583</v>
      </c>
      <c r="B574" s="225" t="s">
        <v>584</v>
      </c>
      <c r="C574" s="225">
        <v>100</v>
      </c>
      <c r="D574" s="225" t="s">
        <v>585</v>
      </c>
      <c r="E574" s="225">
        <v>62</v>
      </c>
      <c r="F574" s="225" t="s">
        <v>1</v>
      </c>
      <c r="G574" s="225">
        <v>3</v>
      </c>
      <c r="H574" s="225" t="s">
        <v>383</v>
      </c>
      <c r="I574" s="225" t="s">
        <v>586</v>
      </c>
      <c r="J574" s="228">
        <v>46</v>
      </c>
      <c r="K574" s="226">
        <v>180000</v>
      </c>
      <c r="L574" s="226">
        <v>234350</v>
      </c>
      <c r="M574" s="226">
        <v>298202</v>
      </c>
      <c r="N574" s="227">
        <v>279187.20000000001</v>
      </c>
    </row>
    <row r="575" spans="1:14">
      <c r="A575" s="225" t="s">
        <v>583</v>
      </c>
      <c r="B575" s="225" t="s">
        <v>584</v>
      </c>
      <c r="C575" s="225">
        <v>100</v>
      </c>
      <c r="D575" s="225" t="s">
        <v>585</v>
      </c>
      <c r="E575" s="225">
        <v>62</v>
      </c>
      <c r="F575" s="225" t="s">
        <v>1</v>
      </c>
      <c r="G575" s="225">
        <v>2</v>
      </c>
      <c r="H575" s="225" t="s">
        <v>352</v>
      </c>
      <c r="I575" s="225" t="s">
        <v>586</v>
      </c>
      <c r="J575" s="228">
        <v>43</v>
      </c>
      <c r="K575" s="226">
        <v>207750</v>
      </c>
      <c r="L575" s="226">
        <v>281216</v>
      </c>
      <c r="M575" s="226">
        <v>342743</v>
      </c>
      <c r="N575" s="227">
        <v>303601.3</v>
      </c>
    </row>
    <row r="576" spans="1:14">
      <c r="A576" s="225" t="s">
        <v>583</v>
      </c>
      <c r="B576" s="225" t="s">
        <v>584</v>
      </c>
      <c r="C576" s="225">
        <v>100</v>
      </c>
      <c r="D576" s="225" t="s">
        <v>585</v>
      </c>
      <c r="E576" s="225">
        <v>62</v>
      </c>
      <c r="F576" s="225" t="s">
        <v>1</v>
      </c>
      <c r="G576" s="225">
        <v>6</v>
      </c>
      <c r="H576" s="225" t="s">
        <v>385</v>
      </c>
      <c r="I576" s="225" t="s">
        <v>586</v>
      </c>
      <c r="J576" s="228">
        <v>1</v>
      </c>
      <c r="K576" s="228"/>
      <c r="L576" s="228"/>
      <c r="M576" s="228"/>
      <c r="N576" s="228"/>
    </row>
    <row r="577" spans="1:14">
      <c r="A577" s="225" t="s">
        <v>583</v>
      </c>
      <c r="B577" s="225" t="s">
        <v>584</v>
      </c>
      <c r="C577" s="225">
        <v>100</v>
      </c>
      <c r="D577" s="225" t="s">
        <v>585</v>
      </c>
      <c r="E577" s="225">
        <v>62</v>
      </c>
      <c r="F577" s="225" t="s">
        <v>1</v>
      </c>
      <c r="G577" s="225">
        <v>1</v>
      </c>
      <c r="H577" s="225" t="s">
        <v>384</v>
      </c>
      <c r="I577" s="225" t="s">
        <v>586</v>
      </c>
      <c r="J577" s="228">
        <v>9</v>
      </c>
      <c r="K577" s="226">
        <v>302793</v>
      </c>
      <c r="L577" s="226">
        <v>383359</v>
      </c>
      <c r="M577" s="226">
        <v>643573</v>
      </c>
      <c r="N577" s="227">
        <v>450811.1</v>
      </c>
    </row>
  </sheetData>
  <autoFilter ref="A1:N577"/>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B12" sqref="B12:J15"/>
    </sheetView>
  </sheetViews>
  <sheetFormatPr defaultColWidth="9.140625" defaultRowHeight="12.75"/>
  <cols>
    <col min="1" max="1" width="65.28515625" style="231" bestFit="1" customWidth="1"/>
    <col min="2" max="2" width="12" style="231" bestFit="1" customWidth="1"/>
    <col min="3" max="3" width="6" style="231" bestFit="1" customWidth="1"/>
    <col min="4" max="4" width="6.42578125" style="231" bestFit="1" customWidth="1"/>
    <col min="5" max="5" width="7.5703125" style="231" bestFit="1" customWidth="1"/>
    <col min="6" max="7" width="9.140625" style="231"/>
    <col min="8" max="8" width="7.42578125" style="231" bestFit="1" customWidth="1"/>
    <col min="9" max="16384" width="9.140625" style="231"/>
  </cols>
  <sheetData>
    <row r="1" spans="1:10">
      <c r="A1" s="230" t="s">
        <v>588</v>
      </c>
    </row>
    <row r="2" spans="1:10">
      <c r="A2" s="230" t="s">
        <v>589</v>
      </c>
    </row>
    <row r="3" spans="1:10">
      <c r="A3" s="230" t="s">
        <v>590</v>
      </c>
    </row>
    <row r="4" spans="1:10">
      <c r="A4" s="232" t="s">
        <v>591</v>
      </c>
    </row>
    <row r="5" spans="1:10">
      <c r="A5" s="233" t="s">
        <v>592</v>
      </c>
    </row>
    <row r="10" spans="1:10">
      <c r="A10" s="234" t="s">
        <v>592</v>
      </c>
      <c r="B10" s="312" t="s">
        <v>593</v>
      </c>
      <c r="C10" s="313"/>
      <c r="D10" s="313"/>
      <c r="E10" s="313"/>
      <c r="F10" s="313"/>
      <c r="G10" s="313"/>
      <c r="H10" s="313"/>
      <c r="I10" s="313"/>
      <c r="J10" s="313"/>
    </row>
    <row r="11" spans="1:10">
      <c r="A11" s="234" t="s">
        <v>172</v>
      </c>
      <c r="B11" s="234" t="s">
        <v>594</v>
      </c>
      <c r="C11" s="234" t="s">
        <v>579</v>
      </c>
      <c r="D11" s="234" t="s">
        <v>395</v>
      </c>
      <c r="E11" s="234" t="s">
        <v>595</v>
      </c>
      <c r="F11" s="234" t="s">
        <v>596</v>
      </c>
      <c r="G11" s="234" t="s">
        <v>597</v>
      </c>
      <c r="H11" s="234" t="s">
        <v>581</v>
      </c>
      <c r="I11" s="234" t="s">
        <v>598</v>
      </c>
      <c r="J11" s="234" t="s">
        <v>599</v>
      </c>
    </row>
    <row r="12" spans="1:10">
      <c r="A12" s="233" t="s">
        <v>42</v>
      </c>
      <c r="B12" s="236">
        <v>22</v>
      </c>
      <c r="C12" s="236">
        <v>788</v>
      </c>
      <c r="D12" s="237">
        <v>10260</v>
      </c>
      <c r="E12" s="237">
        <v>5723</v>
      </c>
      <c r="F12" s="237">
        <v>2607</v>
      </c>
      <c r="G12" s="237">
        <v>5984</v>
      </c>
      <c r="H12" s="237">
        <v>10409</v>
      </c>
      <c r="I12" s="237">
        <v>13803</v>
      </c>
      <c r="J12" s="237">
        <v>17394</v>
      </c>
    </row>
    <row r="13" spans="1:10">
      <c r="A13" s="233" t="s">
        <v>43</v>
      </c>
      <c r="B13" s="236">
        <v>9</v>
      </c>
      <c r="C13" s="236">
        <v>26</v>
      </c>
      <c r="D13" s="237">
        <v>6370</v>
      </c>
      <c r="E13" s="237">
        <v>4618</v>
      </c>
      <c r="F13" s="236">
        <v>283</v>
      </c>
      <c r="G13" s="237">
        <v>1866</v>
      </c>
      <c r="H13" s="237">
        <v>6652</v>
      </c>
      <c r="I13" s="237">
        <v>9815</v>
      </c>
      <c r="J13" s="237">
        <v>13388</v>
      </c>
    </row>
    <row r="14" spans="1:10">
      <c r="A14" s="233" t="s">
        <v>110</v>
      </c>
      <c r="B14" s="236">
        <v>10</v>
      </c>
      <c r="C14" s="236">
        <v>96</v>
      </c>
      <c r="D14" s="237">
        <v>9202</v>
      </c>
      <c r="E14" s="237">
        <v>3802</v>
      </c>
      <c r="F14" s="237">
        <v>5046</v>
      </c>
      <c r="G14" s="237">
        <v>6570</v>
      </c>
      <c r="H14" s="237">
        <v>8818</v>
      </c>
      <c r="I14" s="237">
        <v>12198</v>
      </c>
      <c r="J14" s="237">
        <v>14493</v>
      </c>
    </row>
    <row r="15" spans="1:10">
      <c r="A15" s="233" t="s">
        <v>600</v>
      </c>
      <c r="B15" s="236">
        <v>8</v>
      </c>
      <c r="C15" s="236">
        <v>285</v>
      </c>
      <c r="D15" s="237">
        <v>4304</v>
      </c>
      <c r="E15" s="237">
        <v>2457</v>
      </c>
      <c r="F15" s="236">
        <v>905</v>
      </c>
      <c r="G15" s="237">
        <v>2219</v>
      </c>
      <c r="H15" s="237">
        <v>4435</v>
      </c>
      <c r="I15" s="237">
        <v>6305</v>
      </c>
      <c r="J15" s="237">
        <v>7576</v>
      </c>
    </row>
  </sheetData>
  <mergeCells count="1">
    <mergeCell ref="B10:J10"/>
  </mergeCell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309"/>
  <sheetViews>
    <sheetView zoomScale="90" zoomScaleNormal="90" workbookViewId="0">
      <selection sqref="A1:B1"/>
    </sheetView>
  </sheetViews>
  <sheetFormatPr defaultColWidth="9.28515625" defaultRowHeight="14.25" customHeight="1"/>
  <cols>
    <col min="1" max="1" width="19" style="157" customWidth="1"/>
    <col min="2" max="2" width="51.85546875" style="156" customWidth="1"/>
    <col min="3" max="3" width="14.42578125" style="156" customWidth="1"/>
    <col min="4" max="4" width="1.42578125" style="156" customWidth="1"/>
    <col min="5" max="5" width="37.42578125" style="156" customWidth="1"/>
    <col min="6" max="6" width="11.28515625" style="156" customWidth="1"/>
    <col min="7" max="7" width="1.7109375" style="156" customWidth="1"/>
    <col min="8" max="8" width="23" style="156" bestFit="1" customWidth="1"/>
    <col min="9" max="9" width="11.42578125" style="156" customWidth="1"/>
    <col min="10" max="10" width="1.5703125" style="156" customWidth="1"/>
    <col min="11" max="11" width="31.5703125" style="156" customWidth="1"/>
    <col min="12" max="12" width="14.42578125" style="156" customWidth="1"/>
    <col min="13" max="13" width="4.7109375" style="156" customWidth="1"/>
    <col min="14" max="14" width="18.140625" style="156" bestFit="1" customWidth="1"/>
    <col min="15" max="15" width="84.5703125" style="158" bestFit="1" customWidth="1"/>
    <col min="16" max="47" width="9.28515625" style="158"/>
    <col min="48" max="16384" width="9.28515625" style="156"/>
  </cols>
  <sheetData>
    <row r="1" spans="1:47" s="113" customFormat="1" ht="15.75" customHeight="1">
      <c r="A1" s="275" t="s">
        <v>23</v>
      </c>
      <c r="B1" s="275"/>
      <c r="D1" s="114"/>
      <c r="E1" s="114"/>
      <c r="F1" s="114"/>
      <c r="G1" s="114"/>
      <c r="H1" s="114"/>
      <c r="I1" s="114"/>
      <c r="J1" s="114"/>
      <c r="K1" s="11"/>
      <c r="L1" s="11"/>
      <c r="M1" s="12" t="s">
        <v>21</v>
      </c>
      <c r="N1" s="115"/>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row>
    <row r="2" spans="1:47" s="113" customFormat="1" ht="15.75" customHeight="1">
      <c r="A2" s="112" t="s">
        <v>219</v>
      </c>
      <c r="B2" s="112"/>
      <c r="D2" s="117"/>
      <c r="E2" s="117"/>
      <c r="F2" s="117"/>
      <c r="G2" s="117"/>
      <c r="H2" s="117"/>
      <c r="I2" s="117"/>
      <c r="J2" s="117"/>
      <c r="K2" s="117"/>
      <c r="L2" s="117"/>
      <c r="M2" s="12" t="s">
        <v>22</v>
      </c>
      <c r="N2" s="115"/>
      <c r="O2" s="118"/>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row>
    <row r="3" spans="1:47" s="113" customFormat="1" ht="15.75" customHeight="1">
      <c r="A3" s="119" t="s">
        <v>189</v>
      </c>
      <c r="B3" s="120" t="str">
        <f>INDEX(Lists!$H:$H,MATCH(Proforma!A3,Lists!$G:$G,0))</f>
        <v>Department</v>
      </c>
      <c r="D3" s="117"/>
      <c r="E3" s="117"/>
      <c r="F3" s="117"/>
      <c r="G3" s="117"/>
      <c r="H3" s="117"/>
      <c r="I3" s="117"/>
      <c r="J3" s="117"/>
      <c r="K3" s="117"/>
      <c r="M3" s="121" t="s">
        <v>392</v>
      </c>
      <c r="N3" s="115"/>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row>
    <row r="4" spans="1:47" s="113" customFormat="1" ht="15.75" customHeight="1">
      <c r="A4" s="213"/>
      <c r="B4" s="120"/>
      <c r="D4" s="117"/>
      <c r="E4" s="117"/>
      <c r="F4" s="117"/>
      <c r="G4" s="117"/>
      <c r="H4" s="117"/>
      <c r="I4" s="117"/>
      <c r="J4" s="117"/>
      <c r="K4" s="117"/>
      <c r="M4" s="121" t="s">
        <v>389</v>
      </c>
      <c r="N4" s="115" t="s">
        <v>386</v>
      </c>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row>
    <row r="5" spans="1:47" s="113" customFormat="1" ht="15.75" customHeight="1">
      <c r="A5" s="112"/>
      <c r="B5" s="120"/>
      <c r="D5" s="117"/>
      <c r="E5" s="117"/>
      <c r="F5" s="117"/>
      <c r="G5" s="117"/>
      <c r="H5" s="117"/>
      <c r="I5" s="117"/>
      <c r="J5" s="117"/>
      <c r="K5" s="117"/>
      <c r="L5" s="117"/>
      <c r="M5" s="121" t="s">
        <v>387</v>
      </c>
      <c r="N5" s="229" t="str">
        <f>IF(A8="&lt;Select AAMC Specialty&gt;","-",(SUMIFS(AAMC!$L:$L,AAMC!$F:$F,Proforma!A8,AAMC!$H:$H,Proforma!N4)))</f>
        <v>-</v>
      </c>
      <c r="O5" s="122"/>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row>
    <row r="6" spans="1:47" s="113" customFormat="1" ht="15.75" customHeight="1">
      <c r="A6" s="112"/>
      <c r="B6" s="112"/>
      <c r="D6" s="117"/>
      <c r="E6" s="117"/>
      <c r="F6" s="117"/>
      <c r="G6" s="117"/>
      <c r="H6" s="117"/>
      <c r="I6" s="117"/>
      <c r="J6" s="117"/>
      <c r="K6" s="117"/>
      <c r="L6" s="117"/>
      <c r="M6" s="121" t="s">
        <v>388</v>
      </c>
      <c r="N6" s="229" t="str">
        <f>IFERROR(INDEX(CPSC!$E$4:$E$150,MATCH(Proforma!A9,CPSC!$A$4:$A$150,0)),"-")</f>
        <v>-</v>
      </c>
      <c r="O6" s="122"/>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row>
    <row r="7" spans="1:47" s="113" customFormat="1" ht="15.75" customHeight="1">
      <c r="A7" s="213"/>
      <c r="B7" s="213"/>
      <c r="D7" s="117"/>
      <c r="E7" s="117"/>
      <c r="F7" s="117"/>
      <c r="G7" s="117"/>
      <c r="H7" s="117"/>
      <c r="I7" s="117"/>
      <c r="J7" s="117"/>
      <c r="K7" s="117"/>
      <c r="L7" s="117"/>
      <c r="M7" s="121" t="s">
        <v>587</v>
      </c>
      <c r="N7" s="229" t="str">
        <f>IFERROR(INDEX('MGMA ASA'!$G$12:$G$15,MATCH(Proforma!A9,'MGMA ASA'!$A$12:$A$15,0)),"-")</f>
        <v>-</v>
      </c>
      <c r="O7" s="122"/>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row>
    <row r="8" spans="1:47" s="113" customFormat="1" ht="15.75" customHeight="1">
      <c r="A8" s="276" t="s">
        <v>570</v>
      </c>
      <c r="B8" s="277"/>
      <c r="C8" s="277"/>
      <c r="D8" s="277"/>
      <c r="E8" s="278"/>
      <c r="F8" s="278"/>
      <c r="G8" s="278"/>
      <c r="H8" s="278"/>
      <c r="I8" s="278"/>
      <c r="J8" s="277"/>
      <c r="K8" s="277"/>
      <c r="L8" s="277"/>
      <c r="M8" s="277"/>
      <c r="N8" s="279"/>
      <c r="O8" s="122" t="s">
        <v>390</v>
      </c>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row>
    <row r="9" spans="1:47" s="124" customFormat="1" ht="18.75" customHeight="1">
      <c r="A9" s="276" t="s">
        <v>492</v>
      </c>
      <c r="B9" s="277"/>
      <c r="C9" s="277"/>
      <c r="D9" s="277"/>
      <c r="E9" s="278"/>
      <c r="F9" s="278"/>
      <c r="G9" s="278"/>
      <c r="H9" s="278"/>
      <c r="I9" s="278"/>
      <c r="J9" s="277"/>
      <c r="K9" s="277"/>
      <c r="L9" s="277"/>
      <c r="M9" s="277"/>
      <c r="N9" s="279"/>
      <c r="O9" s="217" t="s">
        <v>391</v>
      </c>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row>
    <row r="10" spans="1:47" s="124" customFormat="1" ht="6.75" customHeight="1">
      <c r="A10" s="125"/>
      <c r="O10" s="126"/>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row>
    <row r="11" spans="1:47" s="124" customFormat="1" ht="6.75" customHeight="1" thickBot="1">
      <c r="A11" s="125"/>
      <c r="O11" s="126"/>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row>
    <row r="12" spans="1:47" s="124" customFormat="1" ht="25.5">
      <c r="A12" s="125"/>
      <c r="B12" s="127" t="s">
        <v>197</v>
      </c>
      <c r="C12" s="128"/>
      <c r="E12" s="127" t="s">
        <v>199</v>
      </c>
      <c r="F12" s="129"/>
      <c r="H12" s="130" t="s">
        <v>342</v>
      </c>
      <c r="I12" s="110">
        <f>SUM(F12:F16)</f>
        <v>0</v>
      </c>
      <c r="K12" s="127" t="s">
        <v>262</v>
      </c>
      <c r="L12" s="129" t="s">
        <v>193</v>
      </c>
      <c r="O12" s="126" t="s">
        <v>263</v>
      </c>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row>
    <row r="13" spans="1:47" s="124" customFormat="1" ht="38.25">
      <c r="A13" s="125"/>
      <c r="B13" s="131" t="s">
        <v>295</v>
      </c>
      <c r="C13" s="132"/>
      <c r="E13" s="133" t="s">
        <v>0</v>
      </c>
      <c r="F13" s="132"/>
      <c r="H13" s="134" t="s">
        <v>309</v>
      </c>
      <c r="I13" s="111">
        <f>I12-SUM(I14:I18)</f>
        <v>0</v>
      </c>
      <c r="K13" s="214" t="s">
        <v>278</v>
      </c>
      <c r="L13" s="137"/>
      <c r="O13" s="136" t="s">
        <v>277</v>
      </c>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row>
    <row r="14" spans="1:47" s="124" customFormat="1" ht="12.75">
      <c r="A14" s="125"/>
      <c r="B14" s="131" t="s">
        <v>296</v>
      </c>
      <c r="C14" s="132"/>
      <c r="E14" s="133" t="s">
        <v>200</v>
      </c>
      <c r="F14" s="132"/>
      <c r="H14" s="131" t="s">
        <v>332</v>
      </c>
      <c r="I14" s="111">
        <f>IF(SUM(F12+F13)&gt;Lists!$M$11,(Lists!M11*Proforma!N3)+((Lists!$M$11*Proforma!$N$3)*Lists!M17),((Proforma!$F$12+Proforma!$F$13)*Proforma!$N$3)+(((Proforma!$F$12+Proforma!$F$13)*Proforma!$N$3)*Lists!$M$17))</f>
        <v>0</v>
      </c>
      <c r="K14" s="133" t="s">
        <v>192</v>
      </c>
      <c r="L14" s="135"/>
      <c r="O14" s="136" t="s">
        <v>604</v>
      </c>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row>
    <row r="15" spans="1:47" s="124" customFormat="1" ht="12.75">
      <c r="A15" s="125"/>
      <c r="B15" s="131" t="s">
        <v>297</v>
      </c>
      <c r="C15" s="132"/>
      <c r="E15" s="133" t="s">
        <v>220</v>
      </c>
      <c r="F15" s="132"/>
      <c r="H15" s="131" t="s">
        <v>333</v>
      </c>
      <c r="I15" s="111">
        <f>IF(SUM($F$12+$F$13)&gt;Lists!$M$11,((Proforma!$F$12+Proforma!$F$13-Lists!$M$11)*Proforma!$N$3)+(((Proforma!$F$12+Proforma!$F$13-Lists!$M$11)*Proforma!$N$3)*Lists!M17),0)</f>
        <v>0</v>
      </c>
      <c r="K15" s="133" t="s">
        <v>601</v>
      </c>
      <c r="L15" s="135"/>
      <c r="O15" s="136" t="s">
        <v>605</v>
      </c>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row>
    <row r="16" spans="1:47" s="124" customFormat="1" ht="12.75">
      <c r="A16" s="125"/>
      <c r="B16" s="131" t="s">
        <v>311</v>
      </c>
      <c r="C16" s="132"/>
      <c r="E16" s="138" t="s">
        <v>303</v>
      </c>
      <c r="F16" s="109">
        <f>(SUM(F12:F15))*L45</f>
        <v>0</v>
      </c>
      <c r="H16" s="131" t="s">
        <v>334</v>
      </c>
      <c r="I16" s="52">
        <v>0</v>
      </c>
      <c r="K16" s="131" t="s">
        <v>602</v>
      </c>
      <c r="L16" s="135"/>
      <c r="O16" s="136" t="s">
        <v>606</v>
      </c>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row>
    <row r="17" spans="1:47" s="124" customFormat="1" ht="12.75">
      <c r="A17" s="125"/>
      <c r="B17" s="133" t="s">
        <v>209</v>
      </c>
      <c r="C17" s="132"/>
      <c r="E17" s="133" t="s">
        <v>198</v>
      </c>
      <c r="F17" s="135"/>
      <c r="H17" s="133" t="s">
        <v>326</v>
      </c>
      <c r="I17" s="52">
        <v>0</v>
      </c>
      <c r="K17" s="131" t="s">
        <v>603</v>
      </c>
      <c r="L17" s="139"/>
      <c r="O17" s="136" t="s">
        <v>640</v>
      </c>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row>
    <row r="18" spans="1:47" s="124" customFormat="1" ht="26.25" thickBot="1">
      <c r="A18" s="125"/>
      <c r="B18" s="133" t="s">
        <v>310</v>
      </c>
      <c r="C18" s="135"/>
      <c r="E18" s="131" t="s">
        <v>222</v>
      </c>
      <c r="F18" s="137"/>
      <c r="H18" s="141" t="s">
        <v>327</v>
      </c>
      <c r="I18" s="53">
        <v>0</v>
      </c>
      <c r="K18" s="140" t="s">
        <v>328</v>
      </c>
      <c r="L18" s="52"/>
      <c r="O18" s="136"/>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row>
    <row r="19" spans="1:47" s="124" customFormat="1" ht="38.25">
      <c r="A19" s="142"/>
      <c r="B19" s="131" t="s">
        <v>298</v>
      </c>
      <c r="C19" s="132"/>
      <c r="E19" s="131" t="s">
        <v>633</v>
      </c>
      <c r="F19" s="135"/>
      <c r="H19" s="143"/>
      <c r="I19" s="143"/>
      <c r="K19" s="140" t="s">
        <v>329</v>
      </c>
      <c r="L19" s="52"/>
      <c r="O19" s="136"/>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row>
    <row r="20" spans="1:47" s="124" customFormat="1" ht="12.75">
      <c r="A20" s="144"/>
      <c r="B20" s="131" t="s">
        <v>315</v>
      </c>
      <c r="C20" s="132"/>
      <c r="D20" s="145"/>
      <c r="E20" s="131" t="s">
        <v>634</v>
      </c>
      <c r="F20" s="135"/>
      <c r="G20" s="145"/>
      <c r="H20" s="143"/>
      <c r="I20" s="143"/>
      <c r="J20" s="145"/>
      <c r="K20" s="131" t="s">
        <v>330</v>
      </c>
      <c r="L20" s="52"/>
      <c r="M20" s="145"/>
      <c r="N20" s="145"/>
      <c r="O20" s="126" t="s">
        <v>634</v>
      </c>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row>
    <row r="21" spans="1:47" s="124" customFormat="1" ht="13.5" thickBot="1">
      <c r="A21" s="144"/>
      <c r="B21" s="131" t="s">
        <v>316</v>
      </c>
      <c r="C21" s="132"/>
      <c r="D21" s="145"/>
      <c r="E21" s="131" t="s">
        <v>635</v>
      </c>
      <c r="F21" s="109">
        <f>F20*L46</f>
        <v>0</v>
      </c>
      <c r="G21" s="145"/>
      <c r="H21" s="143"/>
      <c r="I21" s="143"/>
      <c r="J21" s="145"/>
      <c r="K21" s="146" t="s">
        <v>331</v>
      </c>
      <c r="L21" s="53"/>
      <c r="M21" s="145"/>
      <c r="N21" s="145"/>
      <c r="O21" s="126" t="s">
        <v>638</v>
      </c>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row>
    <row r="22" spans="1:47" s="124" customFormat="1" ht="12.75">
      <c r="A22" s="144"/>
      <c r="B22" s="133" t="s">
        <v>317</v>
      </c>
      <c r="C22" s="135"/>
      <c r="D22" s="145"/>
      <c r="E22" s="133" t="s">
        <v>637</v>
      </c>
      <c r="F22" s="137"/>
      <c r="G22" s="145"/>
      <c r="H22" s="143"/>
      <c r="I22" s="143"/>
      <c r="J22" s="145"/>
      <c r="K22" s="148" t="s">
        <v>218</v>
      </c>
      <c r="L22" s="149"/>
      <c r="M22" s="145"/>
      <c r="N22" s="145"/>
      <c r="O22" s="126" t="s">
        <v>639</v>
      </c>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row>
    <row r="23" spans="1:47" s="124" customFormat="1" ht="12.75">
      <c r="A23" s="144"/>
      <c r="B23" s="133" t="s">
        <v>318</v>
      </c>
      <c r="C23" s="132"/>
      <c r="D23" s="145"/>
      <c r="E23" s="133" t="s">
        <v>320</v>
      </c>
      <c r="F23" s="132"/>
      <c r="G23" s="145"/>
      <c r="H23" s="143"/>
      <c r="I23" s="143"/>
      <c r="J23" s="145"/>
      <c r="K23" s="150"/>
      <c r="L23" s="151" t="s">
        <v>216</v>
      </c>
      <c r="M23" s="145"/>
      <c r="N23" s="145"/>
      <c r="O23" s="126"/>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row>
    <row r="24" spans="1:47" s="124" customFormat="1" ht="13.5" thickBot="1">
      <c r="A24" s="144"/>
      <c r="B24" s="141" t="s">
        <v>319</v>
      </c>
      <c r="C24" s="147"/>
      <c r="D24" s="145"/>
      <c r="E24" s="141" t="s">
        <v>321</v>
      </c>
      <c r="F24" s="147"/>
      <c r="G24" s="145"/>
      <c r="H24" s="143"/>
      <c r="I24" s="143"/>
      <c r="J24" s="145"/>
      <c r="K24" s="152"/>
      <c r="L24" s="153" t="s">
        <v>217</v>
      </c>
      <c r="M24" s="145"/>
      <c r="N24" s="145"/>
      <c r="O24" s="126"/>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row>
    <row r="25" spans="1:47" s="124" customFormat="1" ht="12.75">
      <c r="A25" s="144"/>
      <c r="D25" s="145"/>
      <c r="E25" s="145"/>
      <c r="F25" s="145"/>
      <c r="G25" s="145"/>
      <c r="H25" s="143"/>
      <c r="I25" s="143"/>
      <c r="J25" s="145"/>
      <c r="K25" s="145"/>
      <c r="L25" s="154"/>
      <c r="M25" s="145"/>
      <c r="N25" s="145"/>
      <c r="O25" s="126"/>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row>
    <row r="26" spans="1:47" s="124" customFormat="1" ht="12.75">
      <c r="A26" s="144"/>
      <c r="B26" s="155"/>
      <c r="C26" s="155"/>
      <c r="D26" s="145"/>
      <c r="E26" s="145"/>
      <c r="F26" s="145"/>
      <c r="G26" s="145"/>
      <c r="H26" s="143"/>
      <c r="I26" s="143"/>
      <c r="J26" s="145"/>
      <c r="K26" s="145"/>
      <c r="L26" s="154"/>
      <c r="M26" s="145"/>
      <c r="N26" s="145"/>
      <c r="O26" s="126"/>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row>
    <row r="27" spans="1:47" s="2" customFormat="1" ht="12.75">
      <c r="A27" s="7"/>
      <c r="B27" s="4"/>
      <c r="C27" s="45" t="s">
        <v>204</v>
      </c>
      <c r="D27" s="1"/>
      <c r="E27" s="1"/>
      <c r="F27" s="45" t="s">
        <v>205</v>
      </c>
      <c r="G27" s="1"/>
      <c r="H27" s="1"/>
      <c r="I27" s="45" t="s">
        <v>206</v>
      </c>
      <c r="J27" s="1"/>
      <c r="K27" s="45" t="s">
        <v>212</v>
      </c>
      <c r="L27" s="1"/>
      <c r="M27" s="3"/>
      <c r="N27" s="3"/>
      <c r="O27" s="9"/>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row>
    <row r="28" spans="1:47" s="124" customFormat="1" ht="12.75">
      <c r="A28" s="144"/>
      <c r="B28" s="181" t="s">
        <v>300</v>
      </c>
      <c r="C28" s="182">
        <v>1</v>
      </c>
      <c r="D28" s="183"/>
      <c r="E28" s="183"/>
      <c r="F28" s="182">
        <v>1</v>
      </c>
      <c r="G28" s="183"/>
      <c r="H28" s="183"/>
      <c r="I28" s="182">
        <v>1</v>
      </c>
      <c r="J28" s="184"/>
      <c r="K28" s="185"/>
      <c r="L28" s="184"/>
      <c r="M28" s="145"/>
      <c r="N28" s="145"/>
      <c r="O28" s="126"/>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row>
    <row r="29" spans="1:47" s="124" customFormat="1" ht="12.75">
      <c r="A29" s="144"/>
      <c r="B29" s="145" t="s">
        <v>202</v>
      </c>
      <c r="C29" s="186"/>
      <c r="D29" s="187"/>
      <c r="E29" s="187"/>
      <c r="F29" s="187"/>
      <c r="G29" s="187"/>
      <c r="H29" s="187"/>
      <c r="I29" s="187"/>
      <c r="J29" s="187"/>
      <c r="K29" s="187"/>
      <c r="L29" s="187"/>
      <c r="M29" s="156"/>
      <c r="O29" s="126"/>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row>
    <row r="30" spans="1:47" s="124" customFormat="1" ht="12.75">
      <c r="A30" s="144"/>
      <c r="B30" s="143" t="s">
        <v>210</v>
      </c>
      <c r="C30" s="187"/>
      <c r="D30" s="187"/>
      <c r="E30" s="187"/>
      <c r="F30" s="187"/>
      <c r="G30" s="187"/>
      <c r="H30" s="187"/>
      <c r="I30" s="187"/>
      <c r="J30" s="187"/>
      <c r="K30" s="187"/>
      <c r="L30" s="187"/>
      <c r="M30" s="156"/>
      <c r="N30" s="187"/>
      <c r="O30" s="126"/>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row>
    <row r="31" spans="1:47" s="124" customFormat="1" ht="12.75">
      <c r="A31" s="144"/>
      <c r="B31" s="156" t="s">
        <v>306</v>
      </c>
      <c r="C31" s="188">
        <f>Lists!AK6*C28</f>
        <v>0</v>
      </c>
      <c r="D31" s="156"/>
      <c r="E31" s="156"/>
      <c r="F31" s="189">
        <f>(C15*F28)</f>
        <v>0</v>
      </c>
      <c r="G31" s="156"/>
      <c r="H31" s="156"/>
      <c r="I31" s="189">
        <f>(C15*I28)</f>
        <v>0</v>
      </c>
      <c r="J31" s="156"/>
      <c r="K31" s="188">
        <f>SUM(C31,F31,I31)</f>
        <v>0</v>
      </c>
      <c r="L31" s="156"/>
      <c r="M31" s="156"/>
      <c r="N31" s="156"/>
      <c r="O31" s="126"/>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row>
    <row r="32" spans="1:47" s="124" customFormat="1" ht="12.75">
      <c r="A32" s="144"/>
      <c r="B32" s="156" t="s">
        <v>279</v>
      </c>
      <c r="C32" s="188">
        <f>Lists!AO6*C28</f>
        <v>0</v>
      </c>
      <c r="D32" s="156"/>
      <c r="E32" s="156"/>
      <c r="F32" s="189">
        <f>C19*F28</f>
        <v>0</v>
      </c>
      <c r="G32" s="156"/>
      <c r="H32" s="156"/>
      <c r="I32" s="189">
        <f>C19*I28</f>
        <v>0</v>
      </c>
      <c r="J32" s="156"/>
      <c r="K32" s="188">
        <f>SUM(C32,F32,I32)</f>
        <v>0</v>
      </c>
      <c r="L32" s="156"/>
      <c r="M32" s="156"/>
      <c r="N32" s="156"/>
      <c r="O32" s="126"/>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row>
    <row r="33" spans="1:47" s="124" customFormat="1" ht="12.75">
      <c r="A33" s="144"/>
      <c r="B33" s="190" t="s">
        <v>307</v>
      </c>
      <c r="C33" s="189">
        <f>Lists!AS6*C28</f>
        <v>0</v>
      </c>
      <c r="D33" s="187"/>
      <c r="E33" s="187"/>
      <c r="F33" s="189">
        <f>C16*F28</f>
        <v>0</v>
      </c>
      <c r="G33" s="187"/>
      <c r="H33" s="191"/>
      <c r="I33" s="189">
        <f>C16*I28</f>
        <v>0</v>
      </c>
      <c r="J33" s="192"/>
      <c r="K33" s="188">
        <f>SUM(C33,F33,I33)</f>
        <v>0</v>
      </c>
      <c r="L33" s="192"/>
      <c r="M33" s="156"/>
      <c r="N33" s="187"/>
      <c r="O33" s="126"/>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row>
    <row r="34" spans="1:47" s="124" customFormat="1" ht="12.75">
      <c r="A34" s="144"/>
      <c r="B34" s="190" t="s">
        <v>209</v>
      </c>
      <c r="C34" s="192">
        <f>Lists!Y6</f>
        <v>0</v>
      </c>
      <c r="D34" s="207"/>
      <c r="E34" s="192"/>
      <c r="F34" s="192">
        <f>C17</f>
        <v>0</v>
      </c>
      <c r="G34" s="192"/>
      <c r="H34" s="192"/>
      <c r="I34" s="192">
        <f>C17</f>
        <v>0</v>
      </c>
      <c r="J34" s="192"/>
      <c r="K34" s="188">
        <f t="shared" ref="K34:K40" si="0">SUM(C34,F34,I34)</f>
        <v>0</v>
      </c>
      <c r="L34" s="192"/>
      <c r="M34" s="156"/>
      <c r="N34" s="187"/>
      <c r="O34" s="126"/>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row>
    <row r="35" spans="1:47" s="124" customFormat="1" ht="12.75">
      <c r="A35" s="144"/>
      <c r="B35" s="190" t="s">
        <v>203</v>
      </c>
      <c r="C35" s="192">
        <f>Lists!Q14</f>
        <v>0</v>
      </c>
      <c r="D35" s="207"/>
      <c r="E35" s="192"/>
      <c r="F35" s="192">
        <f>C18</f>
        <v>0</v>
      </c>
      <c r="G35" s="192"/>
      <c r="H35" s="192"/>
      <c r="I35" s="192">
        <f>C18</f>
        <v>0</v>
      </c>
      <c r="J35" s="192"/>
      <c r="K35" s="188">
        <f t="shared" si="0"/>
        <v>0</v>
      </c>
      <c r="L35" s="192"/>
      <c r="M35" s="156"/>
      <c r="N35" s="187"/>
      <c r="O35" s="126"/>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row>
    <row r="36" spans="1:47" s="124" customFormat="1" ht="12.75">
      <c r="A36" s="144"/>
      <c r="B36" s="190" t="s">
        <v>315</v>
      </c>
      <c r="C36" s="192">
        <f>Lists!U14</f>
        <v>0</v>
      </c>
      <c r="D36" s="207"/>
      <c r="E36" s="192"/>
      <c r="F36" s="192">
        <f>$C$20</f>
        <v>0</v>
      </c>
      <c r="G36" s="192"/>
      <c r="H36" s="192"/>
      <c r="I36" s="192">
        <f>$C$20</f>
        <v>0</v>
      </c>
      <c r="J36" s="192"/>
      <c r="K36" s="188">
        <f t="shared" si="0"/>
        <v>0</v>
      </c>
      <c r="L36" s="192"/>
      <c r="M36" s="156"/>
      <c r="N36" s="187"/>
      <c r="O36" s="126"/>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row>
    <row r="37" spans="1:47" s="124" customFormat="1" ht="12.75">
      <c r="A37" s="144"/>
      <c r="B37" s="190" t="s">
        <v>316</v>
      </c>
      <c r="C37" s="192">
        <v>0</v>
      </c>
      <c r="D37" s="207"/>
      <c r="E37" s="192"/>
      <c r="F37" s="192">
        <f>$C$21*F28</f>
        <v>0</v>
      </c>
      <c r="G37" s="192"/>
      <c r="H37" s="192"/>
      <c r="I37" s="192">
        <f>$C$21*I28</f>
        <v>0</v>
      </c>
      <c r="J37" s="192"/>
      <c r="K37" s="188">
        <f t="shared" si="0"/>
        <v>0</v>
      </c>
      <c r="L37" s="192"/>
      <c r="M37" s="156"/>
      <c r="N37" s="187"/>
      <c r="O37" s="126"/>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row>
    <row r="38" spans="1:47" s="124" customFormat="1" ht="12.75">
      <c r="A38" s="144"/>
      <c r="B38" s="208" t="s">
        <v>337</v>
      </c>
      <c r="C38" s="192">
        <f>Lists!Y14*C28</f>
        <v>0</v>
      </c>
      <c r="D38" s="207"/>
      <c r="E38" s="192"/>
      <c r="F38" s="192">
        <f>$C$22*F28</f>
        <v>0</v>
      </c>
      <c r="G38" s="192"/>
      <c r="H38" s="192"/>
      <c r="I38" s="192">
        <f>$C$22*I28</f>
        <v>0</v>
      </c>
      <c r="J38" s="192"/>
      <c r="K38" s="188">
        <f t="shared" si="0"/>
        <v>0</v>
      </c>
      <c r="L38" s="192"/>
      <c r="M38" s="156"/>
      <c r="N38" s="187"/>
      <c r="O38" s="126"/>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row>
    <row r="39" spans="1:47" s="124" customFormat="1" ht="12.75">
      <c r="A39" s="144"/>
      <c r="B39" s="190" t="s">
        <v>335</v>
      </c>
      <c r="C39" s="192">
        <f>Lists!AC14*C28</f>
        <v>0</v>
      </c>
      <c r="D39" s="207"/>
      <c r="E39" s="192"/>
      <c r="F39" s="192">
        <f>$C$23*F28</f>
        <v>0</v>
      </c>
      <c r="G39" s="192"/>
      <c r="H39" s="192"/>
      <c r="I39" s="192">
        <f>$C$23*I28</f>
        <v>0</v>
      </c>
      <c r="J39" s="192"/>
      <c r="K39" s="188">
        <f t="shared" si="0"/>
        <v>0</v>
      </c>
      <c r="L39" s="192"/>
      <c r="M39" s="156"/>
      <c r="N39" s="187"/>
      <c r="O39" s="126"/>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row>
    <row r="40" spans="1:47" s="124" customFormat="1" ht="12.75">
      <c r="A40" s="144"/>
      <c r="B40" s="190" t="s">
        <v>336</v>
      </c>
      <c r="C40" s="189">
        <f>C24</f>
        <v>0</v>
      </c>
      <c r="D40" s="187"/>
      <c r="E40" s="187"/>
      <c r="F40" s="189">
        <v>0</v>
      </c>
      <c r="G40" s="187"/>
      <c r="H40" s="191"/>
      <c r="I40" s="189">
        <v>0</v>
      </c>
      <c r="J40" s="192"/>
      <c r="K40" s="188">
        <f t="shared" si="0"/>
        <v>0</v>
      </c>
      <c r="L40" s="192"/>
      <c r="M40" s="156"/>
      <c r="N40" s="187"/>
      <c r="O40" s="126"/>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row>
    <row r="41" spans="1:47" s="124" customFormat="1" ht="12.75">
      <c r="A41" s="144"/>
      <c r="B41" s="190" t="s">
        <v>636</v>
      </c>
      <c r="C41" s="189">
        <f>C46*F22</f>
        <v>0</v>
      </c>
      <c r="D41" s="187"/>
      <c r="E41" s="187"/>
      <c r="F41" s="189">
        <f>F46*F22</f>
        <v>0</v>
      </c>
      <c r="G41" s="187"/>
      <c r="H41" s="191"/>
      <c r="I41" s="189">
        <f>I46*F22</f>
        <v>0</v>
      </c>
      <c r="J41" s="192"/>
      <c r="K41" s="188"/>
      <c r="L41" s="192"/>
      <c r="M41" s="156"/>
      <c r="N41" s="187"/>
      <c r="O41" s="126"/>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row>
    <row r="42" spans="1:47" s="124" customFormat="1" ht="13.5" thickBot="1">
      <c r="A42" s="193"/>
      <c r="B42" s="190" t="s">
        <v>12</v>
      </c>
      <c r="C42" s="194">
        <f>SUM(C31:C41)</f>
        <v>0</v>
      </c>
      <c r="D42" s="187"/>
      <c r="E42" s="187"/>
      <c r="F42" s="194">
        <f>SUM(F31:F41)</f>
        <v>0</v>
      </c>
      <c r="G42" s="187"/>
      <c r="H42" s="187"/>
      <c r="I42" s="194">
        <f>SUM(I31:I41)</f>
        <v>0</v>
      </c>
      <c r="J42" s="192"/>
      <c r="K42" s="194">
        <f>SUM(C42,F42,I42)</f>
        <v>0</v>
      </c>
      <c r="L42" s="192"/>
      <c r="M42" s="156"/>
      <c r="N42" s="187"/>
      <c r="O42" s="126"/>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row>
    <row r="43" spans="1:47" s="124" customFormat="1" ht="12.75">
      <c r="A43" s="193"/>
      <c r="B43" s="190"/>
      <c r="C43" s="189"/>
      <c r="D43" s="187"/>
      <c r="E43" s="187"/>
      <c r="F43" s="189"/>
      <c r="G43" s="187"/>
      <c r="H43" s="187"/>
      <c r="I43" s="189"/>
      <c r="J43" s="192"/>
      <c r="K43" s="189"/>
      <c r="L43" s="192"/>
      <c r="M43" s="156"/>
      <c r="N43" s="187"/>
      <c r="O43" s="126"/>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row>
    <row r="44" spans="1:47" s="124" customFormat="1" ht="12.75">
      <c r="A44" s="144"/>
      <c r="B44" s="195" t="s">
        <v>211</v>
      </c>
      <c r="C44" s="192"/>
      <c r="D44" s="187"/>
      <c r="E44" s="187"/>
      <c r="F44" s="192"/>
      <c r="G44" s="187"/>
      <c r="H44" s="187"/>
      <c r="I44" s="192"/>
      <c r="J44" s="192"/>
      <c r="K44" s="192"/>
      <c r="L44" s="192"/>
      <c r="M44" s="156"/>
      <c r="N44" s="187"/>
      <c r="O44" s="126"/>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row>
    <row r="45" spans="1:47" s="124" customFormat="1" ht="12.75">
      <c r="A45" s="144"/>
      <c r="B45" s="196" t="s">
        <v>304</v>
      </c>
      <c r="C45" s="192">
        <f>Lists!Q6</f>
        <v>0</v>
      </c>
      <c r="D45" s="192"/>
      <c r="E45" s="192"/>
      <c r="F45" s="192">
        <f>SUM(I12)+(SUM(I12)*F18)</f>
        <v>0</v>
      </c>
      <c r="G45" s="44"/>
      <c r="H45" s="44"/>
      <c r="I45" s="192">
        <f>SUM(I12)+(SUM(I12)*F18*2)</f>
        <v>0</v>
      </c>
      <c r="J45" s="207"/>
      <c r="K45" s="188">
        <f t="shared" ref="K45:K54" si="1">SUM(C45,F45,I45)</f>
        <v>0</v>
      </c>
      <c r="L45" s="198">
        <v>0.3</v>
      </c>
      <c r="M45" s="156"/>
      <c r="N45" s="187"/>
      <c r="O45" s="136" t="s">
        <v>299</v>
      </c>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row>
    <row r="46" spans="1:47" s="124" customFormat="1" ht="12.75">
      <c r="A46" s="144"/>
      <c r="B46" s="209" t="s">
        <v>313</v>
      </c>
      <c r="C46" s="192">
        <f>Lists!AW6</f>
        <v>0</v>
      </c>
      <c r="D46" s="192"/>
      <c r="E46" s="192"/>
      <c r="F46" s="192">
        <f>SUM(F20:F21)+(SUM(F20:F21)*F18)</f>
        <v>0</v>
      </c>
      <c r="G46" s="44"/>
      <c r="H46" s="44"/>
      <c r="I46" s="192">
        <f>SUM(F20:F21)+(SUM(F20:F21)*F18*2)</f>
        <v>0</v>
      </c>
      <c r="J46" s="207"/>
      <c r="K46" s="188">
        <f t="shared" si="1"/>
        <v>0</v>
      </c>
      <c r="L46" s="198">
        <v>0.3</v>
      </c>
      <c r="M46" s="156"/>
      <c r="N46" s="187"/>
      <c r="O46" s="136" t="s">
        <v>299</v>
      </c>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row>
    <row r="47" spans="1:47" s="124" customFormat="1" ht="12.75">
      <c r="A47" s="144"/>
      <c r="B47" s="196" t="s">
        <v>305</v>
      </c>
      <c r="C47" s="192">
        <f>Lists!M6</f>
        <v>0</v>
      </c>
      <c r="D47" s="192"/>
      <c r="E47" s="192"/>
      <c r="F47" s="192">
        <f>F17+(C47*F18)</f>
        <v>0</v>
      </c>
      <c r="G47" s="44"/>
      <c r="H47" s="44"/>
      <c r="I47" s="192">
        <f>(F17*F18*2)+F17</f>
        <v>0</v>
      </c>
      <c r="J47" s="207"/>
      <c r="K47" s="188">
        <f t="shared" si="1"/>
        <v>0</v>
      </c>
      <c r="L47" s="192"/>
      <c r="M47" s="156"/>
      <c r="N47" s="187"/>
      <c r="O47" s="126"/>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row>
    <row r="48" spans="1:47" s="124" customFormat="1" ht="12.75">
      <c r="A48" s="144"/>
      <c r="B48" s="209" t="s">
        <v>339</v>
      </c>
      <c r="C48" s="192">
        <f>Lists!BA6</f>
        <v>0</v>
      </c>
      <c r="D48" s="192"/>
      <c r="E48" s="192"/>
      <c r="F48" s="192">
        <f>SUM(F23:F24)+(SUM(F23:F24)*F18)</f>
        <v>0</v>
      </c>
      <c r="G48" s="44"/>
      <c r="H48" s="44"/>
      <c r="I48" s="192">
        <f>(SUM(F23:F24)*F18*2)+SUM(F23:F24)</f>
        <v>0</v>
      </c>
      <c r="J48" s="207"/>
      <c r="K48" s="188">
        <f t="shared" si="1"/>
        <v>0</v>
      </c>
      <c r="L48" s="192"/>
      <c r="M48" s="156"/>
      <c r="N48" s="187"/>
      <c r="O48" s="126"/>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row>
    <row r="49" spans="1:47" s="124" customFormat="1" ht="12.75">
      <c r="A49" s="144"/>
      <c r="B49" s="196" t="s">
        <v>338</v>
      </c>
      <c r="C49" s="192">
        <f>L20+L21</f>
        <v>0</v>
      </c>
      <c r="D49" s="192"/>
      <c r="E49" s="192"/>
      <c r="F49" s="192">
        <v>0</v>
      </c>
      <c r="G49" s="44"/>
      <c r="H49" s="44"/>
      <c r="I49" s="192">
        <v>0</v>
      </c>
      <c r="J49" s="207"/>
      <c r="K49" s="188">
        <f t="shared" si="1"/>
        <v>0</v>
      </c>
      <c r="L49" s="192"/>
      <c r="M49" s="156"/>
      <c r="N49" s="187"/>
      <c r="O49" s="126"/>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row>
    <row r="50" spans="1:47" s="124" customFormat="1" ht="12.75">
      <c r="A50" s="144"/>
      <c r="B50" s="196" t="s">
        <v>340</v>
      </c>
      <c r="C50" s="192">
        <f>($L$18+$L$19)*C28</f>
        <v>0</v>
      </c>
      <c r="D50" s="192"/>
      <c r="E50" s="192"/>
      <c r="F50" s="192">
        <f>($L$18+$L$19)*F28</f>
        <v>0</v>
      </c>
      <c r="G50" s="44"/>
      <c r="H50" s="44"/>
      <c r="I50" s="192">
        <f>($L$18+$L$19)*I28</f>
        <v>0</v>
      </c>
      <c r="J50" s="207"/>
      <c r="K50" s="188">
        <f t="shared" si="1"/>
        <v>0</v>
      </c>
      <c r="L50" s="192"/>
      <c r="M50" s="156"/>
      <c r="N50" s="187"/>
      <c r="O50" s="126"/>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row>
    <row r="51" spans="1:47" s="124" customFormat="1" ht="12.75">
      <c r="A51" s="144"/>
      <c r="B51" s="196" t="s">
        <v>192</v>
      </c>
      <c r="C51" s="192">
        <f>L14</f>
        <v>0</v>
      </c>
      <c r="D51" s="192"/>
      <c r="E51" s="192"/>
      <c r="F51" s="192">
        <f>(C51*F18)+C51</f>
        <v>0</v>
      </c>
      <c r="G51" s="44"/>
      <c r="H51" s="44"/>
      <c r="I51" s="192">
        <f>(F51*F18)+F51</f>
        <v>0</v>
      </c>
      <c r="J51" s="207"/>
      <c r="K51" s="210">
        <f t="shared" si="1"/>
        <v>0</v>
      </c>
      <c r="L51" s="192"/>
      <c r="M51" s="156"/>
      <c r="N51" s="187"/>
      <c r="O51" s="126"/>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row>
    <row r="52" spans="1:47" s="124" customFormat="1" ht="12.75">
      <c r="A52" s="144"/>
      <c r="B52" s="196" t="s">
        <v>601</v>
      </c>
      <c r="C52" s="192">
        <f>L15</f>
        <v>0</v>
      </c>
      <c r="D52" s="192"/>
      <c r="E52" s="192"/>
      <c r="F52" s="192">
        <v>0</v>
      </c>
      <c r="G52" s="44"/>
      <c r="H52" s="44"/>
      <c r="I52" s="192">
        <v>0</v>
      </c>
      <c r="J52" s="207"/>
      <c r="K52" s="210">
        <f t="shared" si="1"/>
        <v>0</v>
      </c>
      <c r="L52" s="192"/>
      <c r="M52" s="156"/>
      <c r="N52" s="187"/>
      <c r="O52" s="126"/>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row>
    <row r="53" spans="1:47" s="124" customFormat="1" ht="12.75">
      <c r="A53" s="144"/>
      <c r="B53" s="209" t="s">
        <v>602</v>
      </c>
      <c r="C53" s="192">
        <f>L16</f>
        <v>0</v>
      </c>
      <c r="D53" s="192"/>
      <c r="E53" s="192"/>
      <c r="F53" s="192">
        <f>(C53*F18)+C53</f>
        <v>0</v>
      </c>
      <c r="G53" s="44"/>
      <c r="H53" s="44"/>
      <c r="I53" s="192">
        <f>(F53*F18)+F53</f>
        <v>0</v>
      </c>
      <c r="J53" s="207"/>
      <c r="K53" s="210">
        <f t="shared" si="1"/>
        <v>0</v>
      </c>
      <c r="L53" s="192"/>
      <c r="M53" s="156"/>
      <c r="N53" s="187"/>
      <c r="O53" s="126"/>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row>
    <row r="54" spans="1:47" s="124" customFormat="1" ht="12.75">
      <c r="A54" s="144"/>
      <c r="B54" s="209" t="s">
        <v>603</v>
      </c>
      <c r="C54" s="192">
        <f>L17</f>
        <v>0</v>
      </c>
      <c r="D54" s="192"/>
      <c r="E54" s="192"/>
      <c r="F54" s="192">
        <f>(C54*F18)+C54</f>
        <v>0</v>
      </c>
      <c r="G54" s="44"/>
      <c r="H54" s="44"/>
      <c r="I54" s="192">
        <f>(F54*F18)+F54</f>
        <v>0</v>
      </c>
      <c r="J54" s="207"/>
      <c r="K54" s="188">
        <f t="shared" si="1"/>
        <v>0</v>
      </c>
      <c r="L54" s="192"/>
      <c r="M54" s="156"/>
      <c r="N54" s="187"/>
      <c r="O54" s="126"/>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row>
    <row r="55" spans="1:47" s="124" customFormat="1" ht="12.75">
      <c r="A55" s="197">
        <v>0.21</v>
      </c>
      <c r="B55" s="196" t="s">
        <v>213</v>
      </c>
      <c r="C55" s="192">
        <f>SUM(C31:C32)*A55</f>
        <v>0</v>
      </c>
      <c r="D55" s="187"/>
      <c r="E55" s="187"/>
      <c r="F55" s="192">
        <f>SUM(F31:F32)*A55</f>
        <v>0</v>
      </c>
      <c r="G55" s="187"/>
      <c r="H55" s="187"/>
      <c r="I55" s="192">
        <f>SUM(I31:I32)*A55</f>
        <v>0</v>
      </c>
      <c r="J55" s="192"/>
      <c r="K55" s="188">
        <f t="shared" ref="K55:K56" si="2">SUM(C55,F55,I55)</f>
        <v>0</v>
      </c>
      <c r="L55" s="192"/>
      <c r="M55" s="156"/>
      <c r="N55" s="187"/>
      <c r="O55" s="126"/>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row>
    <row r="56" spans="1:47" s="124" customFormat="1" ht="13.5" thickBot="1">
      <c r="A56" s="144"/>
      <c r="B56" s="190" t="s">
        <v>12</v>
      </c>
      <c r="C56" s="194">
        <f>SUM(C45:C55)</f>
        <v>0</v>
      </c>
      <c r="D56" s="187"/>
      <c r="E56" s="187"/>
      <c r="F56" s="194">
        <f>SUM(F45:F55)</f>
        <v>0</v>
      </c>
      <c r="G56" s="187"/>
      <c r="H56" s="187"/>
      <c r="I56" s="194">
        <f>SUM(I45:I55)</f>
        <v>0</v>
      </c>
      <c r="J56" s="192"/>
      <c r="K56" s="194">
        <f t="shared" si="2"/>
        <v>0</v>
      </c>
      <c r="L56" s="192"/>
      <c r="M56" s="156"/>
      <c r="N56" s="187"/>
      <c r="O56" s="126"/>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row>
    <row r="57" spans="1:47" s="124" customFormat="1" ht="12.75">
      <c r="A57" s="144"/>
      <c r="B57" s="199"/>
      <c r="C57" s="192"/>
      <c r="D57" s="187"/>
      <c r="E57" s="187"/>
      <c r="F57" s="187"/>
      <c r="G57" s="187"/>
      <c r="H57" s="187"/>
      <c r="I57" s="187"/>
      <c r="J57" s="192"/>
      <c r="K57" s="187"/>
      <c r="L57" s="192"/>
      <c r="M57" s="156"/>
      <c r="N57" s="187"/>
      <c r="O57" s="126"/>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row>
    <row r="58" spans="1:47" s="158" customFormat="1" ht="14.25" customHeight="1">
      <c r="A58" s="144"/>
      <c r="B58" s="196"/>
      <c r="C58" s="192"/>
      <c r="D58" s="192"/>
      <c r="E58" s="192"/>
      <c r="F58" s="192"/>
      <c r="G58" s="192"/>
      <c r="H58" s="192"/>
      <c r="I58" s="192"/>
      <c r="J58" s="192"/>
      <c r="K58" s="192"/>
      <c r="L58" s="192"/>
      <c r="M58" s="200"/>
      <c r="N58" s="156"/>
    </row>
    <row r="59" spans="1:47" s="158" customFormat="1" ht="14.25" customHeight="1" thickBot="1">
      <c r="A59" s="201"/>
      <c r="B59" s="202" t="s">
        <v>221</v>
      </c>
      <c r="C59" s="203">
        <f>C42-C56</f>
        <v>0</v>
      </c>
      <c r="D59" s="204"/>
      <c r="E59" s="205"/>
      <c r="F59" s="203">
        <f>F42-F56</f>
        <v>0</v>
      </c>
      <c r="G59" s="205"/>
      <c r="H59" s="204"/>
      <c r="I59" s="203">
        <f>I42-I56</f>
        <v>0</v>
      </c>
      <c r="J59" s="205"/>
      <c r="K59" s="203">
        <f>SUM(C59,F59,I59)</f>
        <v>0</v>
      </c>
      <c r="L59" s="205"/>
      <c r="M59" s="206"/>
      <c r="N59" s="205"/>
    </row>
    <row r="60" spans="1:47" s="158" customFormat="1" ht="6.75" customHeight="1" thickTop="1">
      <c r="A60" s="159"/>
      <c r="B60" s="160"/>
      <c r="C60" s="161"/>
      <c r="D60" s="162"/>
      <c r="E60" s="163"/>
      <c r="F60" s="163"/>
      <c r="G60" s="163"/>
      <c r="H60" s="163"/>
      <c r="I60" s="163"/>
      <c r="J60" s="161"/>
      <c r="K60" s="162"/>
      <c r="L60" s="161"/>
      <c r="M60" s="162"/>
      <c r="N60" s="162"/>
      <c r="O60" s="165"/>
      <c r="P60" s="165"/>
      <c r="Q60" s="165"/>
    </row>
    <row r="61" spans="1:47" s="158" customFormat="1" ht="6.75" customHeight="1">
      <c r="A61" s="144"/>
      <c r="B61" s="156"/>
      <c r="C61" s="154"/>
      <c r="D61" s="145"/>
      <c r="E61" s="145"/>
      <c r="F61" s="145"/>
      <c r="G61" s="145"/>
      <c r="H61" s="145"/>
      <c r="I61" s="145"/>
      <c r="J61" s="154"/>
      <c r="K61" s="145"/>
      <c r="L61" s="154"/>
      <c r="M61" s="145"/>
      <c r="N61" s="145"/>
      <c r="O61" s="165"/>
      <c r="P61" s="165"/>
      <c r="Q61" s="165"/>
    </row>
    <row r="62" spans="1:47" s="158" customFormat="1" ht="14.25" customHeight="1">
      <c r="A62" s="166"/>
      <c r="B62" s="167" t="s">
        <v>8</v>
      </c>
      <c r="C62" s="164"/>
      <c r="D62" s="164"/>
      <c r="E62" s="44"/>
      <c r="F62" s="44"/>
      <c r="G62" s="44"/>
      <c r="H62" s="164"/>
      <c r="I62" s="164"/>
      <c r="J62" s="164"/>
      <c r="K62" s="164"/>
      <c r="L62" s="164"/>
      <c r="M62" s="164"/>
      <c r="N62" s="164"/>
      <c r="O62" s="168" t="s">
        <v>18</v>
      </c>
    </row>
    <row r="63" spans="1:47" s="158" customFormat="1" ht="14.25" customHeight="1">
      <c r="A63" s="169" t="s">
        <v>9</v>
      </c>
      <c r="B63" s="280"/>
      <c r="C63" s="280"/>
      <c r="D63" s="280"/>
      <c r="E63" s="280"/>
      <c r="F63" s="280"/>
      <c r="G63" s="280"/>
      <c r="H63" s="280"/>
      <c r="I63" s="280"/>
      <c r="J63" s="280"/>
      <c r="K63" s="280"/>
      <c r="L63" s="280"/>
      <c r="M63" s="280"/>
      <c r="N63" s="280"/>
      <c r="O63" s="168"/>
    </row>
    <row r="64" spans="1:47" s="158" customFormat="1" ht="12.75" customHeight="1">
      <c r="A64" s="169" t="s">
        <v>10</v>
      </c>
      <c r="B64" s="280"/>
      <c r="C64" s="280"/>
      <c r="D64" s="280"/>
      <c r="E64" s="280"/>
      <c r="F64" s="280"/>
      <c r="G64" s="280"/>
      <c r="H64" s="280"/>
      <c r="I64" s="280"/>
      <c r="J64" s="280"/>
      <c r="K64" s="280"/>
      <c r="L64" s="280"/>
      <c r="M64" s="280"/>
      <c r="N64" s="280"/>
      <c r="O64" s="168"/>
    </row>
    <row r="65" spans="1:17" s="158" customFormat="1" ht="12.75" customHeight="1">
      <c r="A65" s="169" t="s">
        <v>11</v>
      </c>
      <c r="B65" s="280"/>
      <c r="C65" s="280"/>
      <c r="D65" s="280"/>
      <c r="E65" s="280"/>
      <c r="F65" s="280"/>
      <c r="G65" s="280"/>
      <c r="H65" s="280"/>
      <c r="I65" s="280"/>
      <c r="J65" s="280"/>
      <c r="K65" s="280"/>
      <c r="L65" s="280"/>
      <c r="M65" s="280"/>
      <c r="N65" s="280"/>
      <c r="O65" s="168"/>
    </row>
    <row r="66" spans="1:17" s="158" customFormat="1" ht="12.75" customHeight="1">
      <c r="A66" s="169"/>
      <c r="B66" s="274"/>
      <c r="C66" s="274"/>
      <c r="D66" s="274"/>
      <c r="E66" s="274"/>
      <c r="F66" s="274"/>
      <c r="G66" s="274"/>
      <c r="H66" s="274"/>
      <c r="I66" s="274"/>
      <c r="J66" s="274"/>
      <c r="K66" s="274"/>
      <c r="L66" s="274"/>
      <c r="M66" s="274"/>
      <c r="N66" s="274"/>
      <c r="O66" s="170"/>
    </row>
    <row r="67" spans="1:17" s="158" customFormat="1" ht="6.75" customHeight="1">
      <c r="A67" s="171"/>
      <c r="B67" s="172"/>
      <c r="C67" s="173"/>
      <c r="D67" s="174"/>
      <c r="E67" s="175"/>
      <c r="F67" s="175"/>
      <c r="G67" s="175"/>
      <c r="H67" s="175"/>
      <c r="I67" s="175"/>
      <c r="J67" s="173"/>
      <c r="K67" s="174"/>
      <c r="L67" s="173"/>
      <c r="M67" s="174"/>
      <c r="N67" s="174"/>
      <c r="O67" s="176"/>
      <c r="P67" s="165"/>
      <c r="Q67" s="165"/>
    </row>
    <row r="68" spans="1:17" s="158" customFormat="1" ht="14.25" customHeight="1">
      <c r="A68" s="177"/>
      <c r="B68" s="178"/>
      <c r="C68" s="179"/>
      <c r="D68" s="179"/>
      <c r="E68" s="179"/>
      <c r="F68" s="179"/>
      <c r="G68" s="179"/>
      <c r="H68" s="179"/>
      <c r="I68" s="179"/>
      <c r="J68" s="179"/>
      <c r="K68" s="179"/>
      <c r="L68" s="179"/>
      <c r="M68" s="165"/>
      <c r="N68" s="165"/>
      <c r="O68" s="165"/>
      <c r="P68" s="165"/>
      <c r="Q68" s="165"/>
    </row>
    <row r="69" spans="1:17" s="158" customFormat="1" ht="14.25" customHeight="1">
      <c r="A69" s="180"/>
    </row>
    <row r="70" spans="1:17" s="158" customFormat="1" ht="14.25" customHeight="1">
      <c r="A70" s="180"/>
    </row>
    <row r="71" spans="1:17" s="158" customFormat="1" ht="14.25" customHeight="1">
      <c r="A71" s="180"/>
    </row>
    <row r="72" spans="1:17" s="158" customFormat="1" ht="14.25" customHeight="1">
      <c r="A72" s="180"/>
    </row>
    <row r="73" spans="1:17" s="158" customFormat="1" ht="14.25" customHeight="1">
      <c r="A73" s="180"/>
    </row>
    <row r="74" spans="1:17" s="158" customFormat="1" ht="14.25" customHeight="1">
      <c r="A74" s="180"/>
    </row>
    <row r="75" spans="1:17" s="158" customFormat="1" ht="14.25" customHeight="1">
      <c r="A75" s="180"/>
    </row>
    <row r="76" spans="1:17" s="158" customFormat="1" ht="14.25" customHeight="1">
      <c r="A76" s="180"/>
    </row>
    <row r="77" spans="1:17" s="158" customFormat="1" ht="14.25" customHeight="1">
      <c r="A77" s="180"/>
    </row>
    <row r="78" spans="1:17" s="158" customFormat="1" ht="14.25" customHeight="1">
      <c r="A78" s="180"/>
    </row>
    <row r="79" spans="1:17" s="158" customFormat="1" ht="14.25" customHeight="1">
      <c r="A79" s="180"/>
    </row>
    <row r="80" spans="1:17" s="158" customFormat="1" ht="14.25" customHeight="1">
      <c r="A80" s="180"/>
    </row>
    <row r="81" spans="1:1" s="158" customFormat="1" ht="14.25" customHeight="1">
      <c r="A81" s="180"/>
    </row>
    <row r="82" spans="1:1" s="158" customFormat="1" ht="14.25" customHeight="1">
      <c r="A82" s="180"/>
    </row>
    <row r="83" spans="1:1" s="158" customFormat="1" ht="14.25" customHeight="1">
      <c r="A83" s="180"/>
    </row>
    <row r="84" spans="1:1" s="158" customFormat="1" ht="14.25" customHeight="1">
      <c r="A84" s="180"/>
    </row>
    <row r="85" spans="1:1" s="158" customFormat="1" ht="14.25" customHeight="1">
      <c r="A85" s="180"/>
    </row>
    <row r="86" spans="1:1" s="158" customFormat="1" ht="14.25" customHeight="1">
      <c r="A86" s="180"/>
    </row>
    <row r="87" spans="1:1" s="158" customFormat="1" ht="14.25" customHeight="1">
      <c r="A87" s="180"/>
    </row>
    <row r="88" spans="1:1" s="158" customFormat="1" ht="14.25" customHeight="1">
      <c r="A88" s="180"/>
    </row>
    <row r="89" spans="1:1" s="158" customFormat="1" ht="14.25" customHeight="1">
      <c r="A89" s="180"/>
    </row>
    <row r="90" spans="1:1" s="158" customFormat="1" ht="14.25" customHeight="1">
      <c r="A90" s="180"/>
    </row>
    <row r="91" spans="1:1" s="158" customFormat="1" ht="14.25" customHeight="1">
      <c r="A91" s="180"/>
    </row>
    <row r="92" spans="1:1" s="158" customFormat="1" ht="14.25" customHeight="1">
      <c r="A92" s="180"/>
    </row>
    <row r="93" spans="1:1" s="158" customFormat="1" ht="14.25" customHeight="1">
      <c r="A93" s="180"/>
    </row>
    <row r="94" spans="1:1" s="158" customFormat="1" ht="14.25" customHeight="1">
      <c r="A94" s="180"/>
    </row>
    <row r="95" spans="1:1" s="158" customFormat="1" ht="14.25" customHeight="1">
      <c r="A95" s="180"/>
    </row>
    <row r="96" spans="1:1" s="158" customFormat="1" ht="14.25" customHeight="1">
      <c r="A96" s="180"/>
    </row>
    <row r="97" spans="1:1" s="158" customFormat="1" ht="14.25" customHeight="1">
      <c r="A97" s="180"/>
    </row>
    <row r="98" spans="1:1" s="158" customFormat="1" ht="14.25" customHeight="1">
      <c r="A98" s="180"/>
    </row>
    <row r="99" spans="1:1" s="158" customFormat="1" ht="14.25" customHeight="1">
      <c r="A99" s="180"/>
    </row>
    <row r="100" spans="1:1" s="158" customFormat="1" ht="14.25" customHeight="1">
      <c r="A100" s="180"/>
    </row>
    <row r="101" spans="1:1" s="158" customFormat="1" ht="14.25" customHeight="1">
      <c r="A101" s="180"/>
    </row>
    <row r="102" spans="1:1" s="158" customFormat="1" ht="14.25" customHeight="1">
      <c r="A102" s="180"/>
    </row>
    <row r="103" spans="1:1" s="158" customFormat="1" ht="14.25" customHeight="1">
      <c r="A103" s="180"/>
    </row>
    <row r="104" spans="1:1" s="158" customFormat="1" ht="14.25" customHeight="1">
      <c r="A104" s="180"/>
    </row>
    <row r="105" spans="1:1" s="158" customFormat="1" ht="14.25" customHeight="1">
      <c r="A105" s="180"/>
    </row>
    <row r="106" spans="1:1" s="158" customFormat="1" ht="14.25" customHeight="1">
      <c r="A106" s="180"/>
    </row>
    <row r="107" spans="1:1" s="158" customFormat="1" ht="14.25" customHeight="1">
      <c r="A107" s="180"/>
    </row>
    <row r="108" spans="1:1" s="158" customFormat="1" ht="14.25" customHeight="1">
      <c r="A108" s="180"/>
    </row>
    <row r="109" spans="1:1" s="158" customFormat="1" ht="14.25" customHeight="1">
      <c r="A109" s="180"/>
    </row>
    <row r="110" spans="1:1" s="158" customFormat="1" ht="14.25" customHeight="1">
      <c r="A110" s="180"/>
    </row>
    <row r="111" spans="1:1" s="158" customFormat="1" ht="14.25" customHeight="1">
      <c r="A111" s="180"/>
    </row>
    <row r="112" spans="1:1" s="158" customFormat="1" ht="14.25" customHeight="1">
      <c r="A112" s="180"/>
    </row>
    <row r="113" spans="1:1" s="158" customFormat="1" ht="14.25" customHeight="1">
      <c r="A113" s="180"/>
    </row>
    <row r="114" spans="1:1" s="158" customFormat="1" ht="14.25" customHeight="1">
      <c r="A114" s="180"/>
    </row>
    <row r="115" spans="1:1" s="158" customFormat="1" ht="14.25" customHeight="1">
      <c r="A115" s="180"/>
    </row>
    <row r="116" spans="1:1" s="158" customFormat="1" ht="14.25" customHeight="1">
      <c r="A116" s="180"/>
    </row>
    <row r="117" spans="1:1" s="158" customFormat="1" ht="14.25" customHeight="1">
      <c r="A117" s="180"/>
    </row>
    <row r="118" spans="1:1" s="158" customFormat="1" ht="14.25" customHeight="1">
      <c r="A118" s="180"/>
    </row>
    <row r="119" spans="1:1" s="158" customFormat="1" ht="14.25" customHeight="1">
      <c r="A119" s="180"/>
    </row>
    <row r="120" spans="1:1" s="158" customFormat="1" ht="14.25" customHeight="1">
      <c r="A120" s="180"/>
    </row>
    <row r="121" spans="1:1" s="158" customFormat="1" ht="14.25" customHeight="1">
      <c r="A121" s="180"/>
    </row>
    <row r="122" spans="1:1" s="158" customFormat="1" ht="14.25" customHeight="1">
      <c r="A122" s="180"/>
    </row>
    <row r="123" spans="1:1" s="158" customFormat="1" ht="14.25" customHeight="1">
      <c r="A123" s="180"/>
    </row>
    <row r="124" spans="1:1" s="158" customFormat="1" ht="14.25" customHeight="1">
      <c r="A124" s="180"/>
    </row>
    <row r="125" spans="1:1" s="158" customFormat="1" ht="14.25" customHeight="1">
      <c r="A125" s="180"/>
    </row>
    <row r="126" spans="1:1" s="158" customFormat="1" ht="14.25" customHeight="1">
      <c r="A126" s="180"/>
    </row>
    <row r="127" spans="1:1" s="158" customFormat="1" ht="14.25" customHeight="1">
      <c r="A127" s="180"/>
    </row>
    <row r="128" spans="1:1" s="158" customFormat="1" ht="14.25" customHeight="1">
      <c r="A128" s="180"/>
    </row>
    <row r="129" spans="1:1" s="158" customFormat="1" ht="14.25" customHeight="1">
      <c r="A129" s="180"/>
    </row>
    <row r="130" spans="1:1" s="158" customFormat="1" ht="14.25" customHeight="1">
      <c r="A130" s="180"/>
    </row>
    <row r="131" spans="1:1" s="158" customFormat="1" ht="14.25" customHeight="1">
      <c r="A131" s="180"/>
    </row>
    <row r="132" spans="1:1" s="158" customFormat="1" ht="14.25" customHeight="1">
      <c r="A132" s="180"/>
    </row>
    <row r="133" spans="1:1" s="158" customFormat="1" ht="14.25" customHeight="1">
      <c r="A133" s="180"/>
    </row>
    <row r="134" spans="1:1" s="158" customFormat="1" ht="14.25" customHeight="1">
      <c r="A134" s="180"/>
    </row>
    <row r="135" spans="1:1" s="158" customFormat="1" ht="14.25" customHeight="1">
      <c r="A135" s="180"/>
    </row>
    <row r="136" spans="1:1" s="158" customFormat="1" ht="14.25" customHeight="1">
      <c r="A136" s="180"/>
    </row>
    <row r="137" spans="1:1" s="158" customFormat="1" ht="14.25" customHeight="1">
      <c r="A137" s="180"/>
    </row>
    <row r="138" spans="1:1" s="158" customFormat="1" ht="14.25" customHeight="1">
      <c r="A138" s="180"/>
    </row>
    <row r="139" spans="1:1" s="158" customFormat="1" ht="14.25" customHeight="1">
      <c r="A139" s="180"/>
    </row>
    <row r="140" spans="1:1" s="158" customFormat="1" ht="14.25" customHeight="1">
      <c r="A140" s="180"/>
    </row>
    <row r="141" spans="1:1" s="158" customFormat="1" ht="14.25" customHeight="1">
      <c r="A141" s="180"/>
    </row>
    <row r="142" spans="1:1" s="158" customFormat="1" ht="14.25" customHeight="1">
      <c r="A142" s="180"/>
    </row>
    <row r="143" spans="1:1" s="158" customFormat="1" ht="14.25" customHeight="1">
      <c r="A143" s="180"/>
    </row>
    <row r="144" spans="1:1" s="158" customFormat="1" ht="14.25" customHeight="1">
      <c r="A144" s="180"/>
    </row>
    <row r="145" spans="1:1" s="158" customFormat="1" ht="14.25" customHeight="1">
      <c r="A145" s="180"/>
    </row>
    <row r="146" spans="1:1" s="158" customFormat="1" ht="14.25" customHeight="1">
      <c r="A146" s="180"/>
    </row>
    <row r="147" spans="1:1" s="158" customFormat="1" ht="14.25" customHeight="1">
      <c r="A147" s="180"/>
    </row>
    <row r="148" spans="1:1" s="158" customFormat="1" ht="14.25" customHeight="1">
      <c r="A148" s="180"/>
    </row>
    <row r="149" spans="1:1" s="158" customFormat="1" ht="14.25" customHeight="1">
      <c r="A149" s="180"/>
    </row>
    <row r="150" spans="1:1" s="158" customFormat="1" ht="14.25" customHeight="1">
      <c r="A150" s="180"/>
    </row>
    <row r="151" spans="1:1" s="158" customFormat="1" ht="14.25" customHeight="1">
      <c r="A151" s="180"/>
    </row>
    <row r="152" spans="1:1" s="158" customFormat="1" ht="14.25" customHeight="1">
      <c r="A152" s="180"/>
    </row>
    <row r="153" spans="1:1" s="158" customFormat="1" ht="14.25" customHeight="1">
      <c r="A153" s="180"/>
    </row>
    <row r="154" spans="1:1" s="158" customFormat="1" ht="14.25" customHeight="1">
      <c r="A154" s="180"/>
    </row>
    <row r="155" spans="1:1" s="158" customFormat="1" ht="14.25" customHeight="1">
      <c r="A155" s="180"/>
    </row>
    <row r="156" spans="1:1" s="158" customFormat="1" ht="14.25" customHeight="1">
      <c r="A156" s="180"/>
    </row>
    <row r="157" spans="1:1" s="158" customFormat="1" ht="14.25" customHeight="1">
      <c r="A157" s="180"/>
    </row>
    <row r="158" spans="1:1" s="158" customFormat="1" ht="14.25" customHeight="1">
      <c r="A158" s="180"/>
    </row>
    <row r="159" spans="1:1" s="158" customFormat="1" ht="14.25" customHeight="1">
      <c r="A159" s="180"/>
    </row>
    <row r="160" spans="1:1" s="158" customFormat="1" ht="14.25" customHeight="1">
      <c r="A160" s="180"/>
    </row>
    <row r="161" spans="1:1" s="158" customFormat="1" ht="14.25" customHeight="1">
      <c r="A161" s="180"/>
    </row>
    <row r="162" spans="1:1" s="158" customFormat="1" ht="14.25" customHeight="1">
      <c r="A162" s="180"/>
    </row>
    <row r="163" spans="1:1" s="158" customFormat="1" ht="14.25" customHeight="1">
      <c r="A163" s="180"/>
    </row>
    <row r="164" spans="1:1" s="158" customFormat="1" ht="14.25" customHeight="1">
      <c r="A164" s="180"/>
    </row>
    <row r="165" spans="1:1" s="158" customFormat="1" ht="14.25" customHeight="1">
      <c r="A165" s="180"/>
    </row>
    <row r="166" spans="1:1" s="158" customFormat="1" ht="14.25" customHeight="1">
      <c r="A166" s="180"/>
    </row>
    <row r="167" spans="1:1" s="158" customFormat="1" ht="14.25" customHeight="1">
      <c r="A167" s="180"/>
    </row>
    <row r="168" spans="1:1" s="158" customFormat="1" ht="14.25" customHeight="1">
      <c r="A168" s="180"/>
    </row>
    <row r="169" spans="1:1" s="158" customFormat="1" ht="14.25" customHeight="1">
      <c r="A169" s="180"/>
    </row>
    <row r="170" spans="1:1" s="158" customFormat="1" ht="14.25" customHeight="1">
      <c r="A170" s="180"/>
    </row>
    <row r="171" spans="1:1" s="158" customFormat="1" ht="14.25" customHeight="1">
      <c r="A171" s="180"/>
    </row>
    <row r="172" spans="1:1" s="158" customFormat="1" ht="14.25" customHeight="1">
      <c r="A172" s="180"/>
    </row>
    <row r="173" spans="1:1" s="158" customFormat="1" ht="14.25" customHeight="1">
      <c r="A173" s="180"/>
    </row>
    <row r="174" spans="1:1" s="158" customFormat="1" ht="14.25" customHeight="1">
      <c r="A174" s="180"/>
    </row>
    <row r="175" spans="1:1" s="158" customFormat="1" ht="14.25" customHeight="1">
      <c r="A175" s="180"/>
    </row>
    <row r="176" spans="1:1" s="158" customFormat="1" ht="14.25" customHeight="1">
      <c r="A176" s="180"/>
    </row>
    <row r="177" spans="1:1" s="158" customFormat="1" ht="14.25" customHeight="1">
      <c r="A177" s="180"/>
    </row>
    <row r="178" spans="1:1" s="158" customFormat="1" ht="14.25" customHeight="1">
      <c r="A178" s="180"/>
    </row>
    <row r="179" spans="1:1" s="158" customFormat="1" ht="14.25" customHeight="1">
      <c r="A179" s="180"/>
    </row>
    <row r="180" spans="1:1" s="158" customFormat="1" ht="14.25" customHeight="1">
      <c r="A180" s="180"/>
    </row>
    <row r="181" spans="1:1" s="158" customFormat="1" ht="14.25" customHeight="1">
      <c r="A181" s="180"/>
    </row>
    <row r="182" spans="1:1" s="158" customFormat="1" ht="14.25" customHeight="1">
      <c r="A182" s="180"/>
    </row>
    <row r="183" spans="1:1" s="158" customFormat="1" ht="14.25" customHeight="1">
      <c r="A183" s="180"/>
    </row>
    <row r="184" spans="1:1" s="158" customFormat="1" ht="14.25" customHeight="1">
      <c r="A184" s="180"/>
    </row>
    <row r="185" spans="1:1" s="158" customFormat="1" ht="14.25" customHeight="1">
      <c r="A185" s="180"/>
    </row>
    <row r="186" spans="1:1" s="158" customFormat="1" ht="14.25" customHeight="1">
      <c r="A186" s="180"/>
    </row>
    <row r="187" spans="1:1" s="158" customFormat="1" ht="14.25" customHeight="1">
      <c r="A187" s="180"/>
    </row>
    <row r="188" spans="1:1" s="158" customFormat="1" ht="14.25" customHeight="1">
      <c r="A188" s="180"/>
    </row>
    <row r="189" spans="1:1" s="158" customFormat="1" ht="14.25" customHeight="1">
      <c r="A189" s="180"/>
    </row>
    <row r="190" spans="1:1" s="158" customFormat="1" ht="14.25" customHeight="1">
      <c r="A190" s="180"/>
    </row>
    <row r="191" spans="1:1" s="158" customFormat="1" ht="14.25" customHeight="1">
      <c r="A191" s="180"/>
    </row>
    <row r="192" spans="1:1" s="158" customFormat="1" ht="14.25" customHeight="1">
      <c r="A192" s="180"/>
    </row>
    <row r="193" spans="1:1" s="158" customFormat="1" ht="14.25" customHeight="1">
      <c r="A193" s="180"/>
    </row>
    <row r="194" spans="1:1" s="158" customFormat="1" ht="14.25" customHeight="1">
      <c r="A194" s="180"/>
    </row>
    <row r="195" spans="1:1" s="158" customFormat="1" ht="14.25" customHeight="1">
      <c r="A195" s="180"/>
    </row>
    <row r="196" spans="1:1" s="158" customFormat="1" ht="14.25" customHeight="1">
      <c r="A196" s="180"/>
    </row>
    <row r="197" spans="1:1" s="158" customFormat="1" ht="14.25" customHeight="1">
      <c r="A197" s="180"/>
    </row>
    <row r="198" spans="1:1" s="158" customFormat="1" ht="14.25" customHeight="1">
      <c r="A198" s="180"/>
    </row>
    <row r="199" spans="1:1" s="158" customFormat="1" ht="14.25" customHeight="1">
      <c r="A199" s="180"/>
    </row>
    <row r="200" spans="1:1" s="158" customFormat="1" ht="14.25" customHeight="1">
      <c r="A200" s="180"/>
    </row>
    <row r="201" spans="1:1" s="158" customFormat="1" ht="14.25" customHeight="1">
      <c r="A201" s="180"/>
    </row>
    <row r="202" spans="1:1" s="158" customFormat="1" ht="14.25" customHeight="1">
      <c r="A202" s="180"/>
    </row>
    <row r="203" spans="1:1" s="158" customFormat="1" ht="14.25" customHeight="1">
      <c r="A203" s="180"/>
    </row>
    <row r="204" spans="1:1" s="158" customFormat="1" ht="14.25" customHeight="1">
      <c r="A204" s="180"/>
    </row>
    <row r="205" spans="1:1" s="158" customFormat="1" ht="14.25" customHeight="1">
      <c r="A205" s="180"/>
    </row>
    <row r="206" spans="1:1" s="158" customFormat="1" ht="14.25" customHeight="1">
      <c r="A206" s="180"/>
    </row>
    <row r="207" spans="1:1" s="158" customFormat="1" ht="14.25" customHeight="1">
      <c r="A207" s="180"/>
    </row>
    <row r="208" spans="1:1" s="158" customFormat="1" ht="14.25" customHeight="1">
      <c r="A208" s="180"/>
    </row>
    <row r="209" spans="1:1" s="158" customFormat="1" ht="14.25" customHeight="1">
      <c r="A209" s="180"/>
    </row>
    <row r="210" spans="1:1" s="158" customFormat="1" ht="14.25" customHeight="1">
      <c r="A210" s="180"/>
    </row>
    <row r="211" spans="1:1" s="158" customFormat="1" ht="14.25" customHeight="1">
      <c r="A211" s="180"/>
    </row>
    <row r="212" spans="1:1" s="158" customFormat="1" ht="14.25" customHeight="1">
      <c r="A212" s="180"/>
    </row>
    <row r="213" spans="1:1" s="158" customFormat="1" ht="14.25" customHeight="1">
      <c r="A213" s="180"/>
    </row>
    <row r="214" spans="1:1" s="158" customFormat="1" ht="14.25" customHeight="1">
      <c r="A214" s="180"/>
    </row>
    <row r="215" spans="1:1" s="158" customFormat="1" ht="14.25" customHeight="1">
      <c r="A215" s="180"/>
    </row>
    <row r="216" spans="1:1" s="158" customFormat="1" ht="14.25" customHeight="1">
      <c r="A216" s="180"/>
    </row>
    <row r="217" spans="1:1" s="158" customFormat="1" ht="14.25" customHeight="1">
      <c r="A217" s="180"/>
    </row>
    <row r="218" spans="1:1" s="158" customFormat="1" ht="14.25" customHeight="1">
      <c r="A218" s="180"/>
    </row>
    <row r="219" spans="1:1" s="158" customFormat="1" ht="14.25" customHeight="1">
      <c r="A219" s="180"/>
    </row>
    <row r="220" spans="1:1" s="158" customFormat="1" ht="14.25" customHeight="1">
      <c r="A220" s="180"/>
    </row>
    <row r="221" spans="1:1" s="158" customFormat="1" ht="14.25" customHeight="1">
      <c r="A221" s="180"/>
    </row>
    <row r="222" spans="1:1" s="158" customFormat="1" ht="14.25" customHeight="1">
      <c r="A222" s="180"/>
    </row>
    <row r="223" spans="1:1" s="158" customFormat="1" ht="14.25" customHeight="1">
      <c r="A223" s="180"/>
    </row>
    <row r="224" spans="1:1" s="158" customFormat="1" ht="14.25" customHeight="1">
      <c r="A224" s="180"/>
    </row>
    <row r="225" spans="1:1" s="158" customFormat="1" ht="14.25" customHeight="1">
      <c r="A225" s="180"/>
    </row>
    <row r="226" spans="1:1" s="158" customFormat="1" ht="14.25" customHeight="1">
      <c r="A226" s="180"/>
    </row>
    <row r="227" spans="1:1" s="158" customFormat="1" ht="14.25" customHeight="1">
      <c r="A227" s="180"/>
    </row>
    <row r="228" spans="1:1" s="158" customFormat="1" ht="14.25" customHeight="1">
      <c r="A228" s="180"/>
    </row>
    <row r="229" spans="1:1" s="158" customFormat="1" ht="14.25" customHeight="1">
      <c r="A229" s="180"/>
    </row>
    <row r="230" spans="1:1" s="158" customFormat="1" ht="14.25" customHeight="1">
      <c r="A230" s="180"/>
    </row>
    <row r="231" spans="1:1" s="158" customFormat="1" ht="14.25" customHeight="1">
      <c r="A231" s="180"/>
    </row>
    <row r="232" spans="1:1" s="158" customFormat="1" ht="14.25" customHeight="1">
      <c r="A232" s="180"/>
    </row>
    <row r="233" spans="1:1" s="158" customFormat="1" ht="14.25" customHeight="1">
      <c r="A233" s="180"/>
    </row>
    <row r="234" spans="1:1" s="158" customFormat="1" ht="14.25" customHeight="1">
      <c r="A234" s="180"/>
    </row>
    <row r="235" spans="1:1" s="158" customFormat="1" ht="14.25" customHeight="1">
      <c r="A235" s="180"/>
    </row>
    <row r="236" spans="1:1" s="158" customFormat="1" ht="14.25" customHeight="1">
      <c r="A236" s="180"/>
    </row>
    <row r="237" spans="1:1" s="158" customFormat="1" ht="14.25" customHeight="1">
      <c r="A237" s="180"/>
    </row>
    <row r="238" spans="1:1" s="158" customFormat="1" ht="14.25" customHeight="1">
      <c r="A238" s="180"/>
    </row>
    <row r="239" spans="1:1" s="158" customFormat="1" ht="14.25" customHeight="1">
      <c r="A239" s="180"/>
    </row>
    <row r="240" spans="1:1" s="158" customFormat="1" ht="14.25" customHeight="1">
      <c r="A240" s="180"/>
    </row>
    <row r="241" spans="1:1" s="158" customFormat="1" ht="14.25" customHeight="1">
      <c r="A241" s="180"/>
    </row>
    <row r="242" spans="1:1" s="158" customFormat="1" ht="14.25" customHeight="1">
      <c r="A242" s="180"/>
    </row>
    <row r="243" spans="1:1" s="158" customFormat="1" ht="14.25" customHeight="1">
      <c r="A243" s="180"/>
    </row>
    <row r="244" spans="1:1" s="158" customFormat="1" ht="14.25" customHeight="1">
      <c r="A244" s="180"/>
    </row>
    <row r="245" spans="1:1" s="158" customFormat="1" ht="14.25" customHeight="1">
      <c r="A245" s="180"/>
    </row>
    <row r="246" spans="1:1" s="158" customFormat="1" ht="14.25" customHeight="1">
      <c r="A246" s="180"/>
    </row>
    <row r="247" spans="1:1" s="158" customFormat="1" ht="14.25" customHeight="1">
      <c r="A247" s="180"/>
    </row>
    <row r="248" spans="1:1" s="158" customFormat="1" ht="14.25" customHeight="1">
      <c r="A248" s="180"/>
    </row>
    <row r="249" spans="1:1" s="158" customFormat="1" ht="14.25" customHeight="1">
      <c r="A249" s="180"/>
    </row>
    <row r="250" spans="1:1" s="158" customFormat="1" ht="14.25" customHeight="1">
      <c r="A250" s="180"/>
    </row>
    <row r="251" spans="1:1" s="158" customFormat="1" ht="14.25" customHeight="1">
      <c r="A251" s="180"/>
    </row>
    <row r="252" spans="1:1" s="158" customFormat="1" ht="14.25" customHeight="1">
      <c r="A252" s="180"/>
    </row>
    <row r="253" spans="1:1" s="158" customFormat="1" ht="14.25" customHeight="1">
      <c r="A253" s="180"/>
    </row>
    <row r="254" spans="1:1" s="158" customFormat="1" ht="14.25" customHeight="1">
      <c r="A254" s="180"/>
    </row>
    <row r="255" spans="1:1" s="158" customFormat="1" ht="14.25" customHeight="1">
      <c r="A255" s="180"/>
    </row>
    <row r="256" spans="1:1" s="158" customFormat="1" ht="14.25" customHeight="1">
      <c r="A256" s="180"/>
    </row>
    <row r="257" spans="1:1" s="158" customFormat="1" ht="14.25" customHeight="1">
      <c r="A257" s="180"/>
    </row>
    <row r="258" spans="1:1" s="158" customFormat="1" ht="14.25" customHeight="1">
      <c r="A258" s="180"/>
    </row>
    <row r="259" spans="1:1" s="158" customFormat="1" ht="14.25" customHeight="1">
      <c r="A259" s="180"/>
    </row>
    <row r="260" spans="1:1" s="158" customFormat="1" ht="14.25" customHeight="1">
      <c r="A260" s="180"/>
    </row>
    <row r="261" spans="1:1" s="158" customFormat="1" ht="14.25" customHeight="1">
      <c r="A261" s="180"/>
    </row>
    <row r="262" spans="1:1" s="158" customFormat="1" ht="14.25" customHeight="1">
      <c r="A262" s="180"/>
    </row>
    <row r="263" spans="1:1" s="158" customFormat="1" ht="14.25" customHeight="1">
      <c r="A263" s="180"/>
    </row>
    <row r="264" spans="1:1" s="158" customFormat="1" ht="14.25" customHeight="1">
      <c r="A264" s="180"/>
    </row>
    <row r="265" spans="1:1" s="158" customFormat="1" ht="14.25" customHeight="1">
      <c r="A265" s="180"/>
    </row>
    <row r="266" spans="1:1" s="158" customFormat="1" ht="14.25" customHeight="1">
      <c r="A266" s="180"/>
    </row>
    <row r="267" spans="1:1" s="158" customFormat="1" ht="14.25" customHeight="1">
      <c r="A267" s="180"/>
    </row>
    <row r="268" spans="1:1" s="158" customFormat="1" ht="14.25" customHeight="1">
      <c r="A268" s="180"/>
    </row>
    <row r="269" spans="1:1" s="158" customFormat="1" ht="14.25" customHeight="1">
      <c r="A269" s="180"/>
    </row>
    <row r="270" spans="1:1" s="158" customFormat="1" ht="14.25" customHeight="1">
      <c r="A270" s="180"/>
    </row>
    <row r="271" spans="1:1" s="158" customFormat="1" ht="14.25" customHeight="1">
      <c r="A271" s="180"/>
    </row>
    <row r="272" spans="1:1" s="158" customFormat="1" ht="14.25" customHeight="1">
      <c r="A272" s="180"/>
    </row>
    <row r="273" spans="1:1" s="158" customFormat="1" ht="14.25" customHeight="1">
      <c r="A273" s="180"/>
    </row>
    <row r="274" spans="1:1" s="158" customFormat="1" ht="14.25" customHeight="1">
      <c r="A274" s="180"/>
    </row>
    <row r="275" spans="1:1" s="158" customFormat="1" ht="14.25" customHeight="1">
      <c r="A275" s="180"/>
    </row>
    <row r="276" spans="1:1" s="158" customFormat="1" ht="14.25" customHeight="1">
      <c r="A276" s="180"/>
    </row>
    <row r="277" spans="1:1" s="158" customFormat="1" ht="14.25" customHeight="1">
      <c r="A277" s="180"/>
    </row>
    <row r="278" spans="1:1" s="158" customFormat="1" ht="14.25" customHeight="1">
      <c r="A278" s="180"/>
    </row>
    <row r="279" spans="1:1" s="158" customFormat="1" ht="14.25" customHeight="1">
      <c r="A279" s="180"/>
    </row>
    <row r="280" spans="1:1" s="158" customFormat="1" ht="14.25" customHeight="1">
      <c r="A280" s="180"/>
    </row>
    <row r="281" spans="1:1" s="158" customFormat="1" ht="14.25" customHeight="1">
      <c r="A281" s="180"/>
    </row>
    <row r="282" spans="1:1" s="158" customFormat="1" ht="14.25" customHeight="1">
      <c r="A282" s="180"/>
    </row>
    <row r="283" spans="1:1" s="158" customFormat="1" ht="14.25" customHeight="1">
      <c r="A283" s="180"/>
    </row>
    <row r="284" spans="1:1" s="158" customFormat="1" ht="14.25" customHeight="1">
      <c r="A284" s="180"/>
    </row>
    <row r="285" spans="1:1" s="158" customFormat="1" ht="14.25" customHeight="1">
      <c r="A285" s="180"/>
    </row>
    <row r="286" spans="1:1" s="158" customFormat="1" ht="14.25" customHeight="1">
      <c r="A286" s="180"/>
    </row>
    <row r="287" spans="1:1" s="158" customFormat="1" ht="14.25" customHeight="1">
      <c r="A287" s="180"/>
    </row>
    <row r="288" spans="1:1" s="158" customFormat="1" ht="14.25" customHeight="1">
      <c r="A288" s="180"/>
    </row>
    <row r="289" spans="1:1" s="158" customFormat="1" ht="14.25" customHeight="1">
      <c r="A289" s="180"/>
    </row>
    <row r="290" spans="1:1" s="158" customFormat="1" ht="14.25" customHeight="1">
      <c r="A290" s="180"/>
    </row>
    <row r="291" spans="1:1" s="158" customFormat="1" ht="14.25" customHeight="1">
      <c r="A291" s="180"/>
    </row>
    <row r="292" spans="1:1" s="158" customFormat="1" ht="14.25" customHeight="1">
      <c r="A292" s="180"/>
    </row>
    <row r="293" spans="1:1" s="158" customFormat="1" ht="14.25" customHeight="1">
      <c r="A293" s="180"/>
    </row>
    <row r="294" spans="1:1" s="158" customFormat="1" ht="14.25" customHeight="1">
      <c r="A294" s="180"/>
    </row>
    <row r="295" spans="1:1" s="158" customFormat="1" ht="14.25" customHeight="1">
      <c r="A295" s="180"/>
    </row>
    <row r="296" spans="1:1" s="158" customFormat="1" ht="14.25" customHeight="1">
      <c r="A296" s="180"/>
    </row>
    <row r="297" spans="1:1" s="158" customFormat="1" ht="14.25" customHeight="1">
      <c r="A297" s="180"/>
    </row>
    <row r="298" spans="1:1" s="158" customFormat="1" ht="14.25" customHeight="1">
      <c r="A298" s="180"/>
    </row>
    <row r="299" spans="1:1" s="158" customFormat="1" ht="14.25" customHeight="1">
      <c r="A299" s="180"/>
    </row>
    <row r="300" spans="1:1" s="158" customFormat="1" ht="14.25" customHeight="1">
      <c r="A300" s="180"/>
    </row>
    <row r="301" spans="1:1" s="158" customFormat="1" ht="14.25" customHeight="1">
      <c r="A301" s="180"/>
    </row>
    <row r="302" spans="1:1" s="158" customFormat="1" ht="14.25" customHeight="1">
      <c r="A302" s="180"/>
    </row>
    <row r="303" spans="1:1" s="158" customFormat="1" ht="14.25" customHeight="1">
      <c r="A303" s="180"/>
    </row>
    <row r="304" spans="1:1" s="158" customFormat="1" ht="14.25" customHeight="1">
      <c r="A304" s="180"/>
    </row>
    <row r="305" spans="1:3" s="158" customFormat="1" ht="14.25" customHeight="1">
      <c r="A305" s="180"/>
    </row>
    <row r="306" spans="1:3" s="158" customFormat="1" ht="14.25" customHeight="1">
      <c r="A306" s="180"/>
    </row>
    <row r="307" spans="1:3" s="158" customFormat="1" ht="14.25" customHeight="1">
      <c r="A307" s="180"/>
    </row>
    <row r="308" spans="1:3" ht="14.25" customHeight="1">
      <c r="B308" s="158"/>
      <c r="C308" s="158"/>
    </row>
    <row r="309" spans="1:3" ht="14.25" customHeight="1">
      <c r="B309" s="158"/>
      <c r="C309" s="158"/>
    </row>
  </sheetData>
  <dataConsolidate/>
  <mergeCells count="7">
    <mergeCell ref="B66:N66"/>
    <mergeCell ref="A1:B1"/>
    <mergeCell ref="A9:N9"/>
    <mergeCell ref="B65:N65"/>
    <mergeCell ref="B64:N64"/>
    <mergeCell ref="B63:N63"/>
    <mergeCell ref="A8:N8"/>
  </mergeCells>
  <dataValidations count="1">
    <dataValidation type="list" allowBlank="1" showInputMessage="1" showErrorMessage="1" sqref="B57">
      <formula1>FUNDTYPE</formula1>
    </dataValidation>
  </dataValidations>
  <printOptions horizontalCentered="1"/>
  <pageMargins left="0.25" right="0.25" top="0.5" bottom="0.5" header="0.5" footer="0.5"/>
  <pageSetup scale="44" orientation="portrait" r:id="rId1"/>
  <headerFooter alignWithMargins="0">
    <oddFooter>&amp;R&amp;D</oddFooter>
  </headerFooter>
  <ignoredErrors>
    <ignoredError sqref="C31:K59" unlockedFormula="1"/>
  </ignoredError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Lists!$K$3:$K$5</xm:f>
          </x14:formula1>
          <xm:sqref>L12</xm:sqref>
        </x14:dataValidation>
        <x14:dataValidation type="list" allowBlank="1" showInputMessage="1" showErrorMessage="1">
          <x14:formula1>
            <xm:f>Lists!$G$3:$G$22</xm:f>
          </x14:formula1>
          <xm:sqref>A3</xm:sqref>
        </x14:dataValidation>
        <x14:dataValidation type="list" allowBlank="1" showInputMessage="1" showErrorMessage="1">
          <x14:formula1>
            <xm:f>Lists!$A$26:$A$108</xm:f>
          </x14:formula1>
          <xm:sqref>A8:N8</xm:sqref>
        </x14:dataValidation>
        <x14:dataValidation type="list" allowBlank="1" showInputMessage="1" showErrorMessage="1">
          <x14:formula1>
            <xm:f>Lists!$K$26:$K$32</xm:f>
          </x14:formula1>
          <xm:sqref>N4</xm:sqref>
        </x14:dataValidation>
        <x14:dataValidation type="list" allowBlank="1" showInputMessage="1" showErrorMessage="1">
          <x14:formula1>
            <xm:f>CPSC!$A$3:$A$150</xm:f>
          </x14:formula1>
          <xm:sqref>A9:N9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1"/>
  <sheetViews>
    <sheetView topLeftCell="A4" workbookViewId="0">
      <selection activeCell="I75" sqref="I75"/>
    </sheetView>
  </sheetViews>
  <sheetFormatPr defaultRowHeight="12.75"/>
  <cols>
    <col min="1" max="1" width="45.5703125" style="83" bestFit="1" customWidth="1"/>
    <col min="2" max="2" width="11.42578125" style="82" bestFit="1" customWidth="1"/>
    <col min="3" max="3" width="11.42578125" style="83" bestFit="1" customWidth="1"/>
    <col min="4" max="4" width="31.42578125" style="83" bestFit="1" customWidth="1"/>
    <col min="5" max="5" width="11.42578125" style="82" bestFit="1" customWidth="1"/>
    <col min="6" max="6" width="8.5703125" style="82" bestFit="1" customWidth="1"/>
    <col min="7" max="7" width="10.5703125" style="83" bestFit="1" customWidth="1"/>
    <col min="8" max="8" width="10.5703125" style="83" customWidth="1"/>
    <col min="9" max="9" width="8.7109375" style="84"/>
    <col min="10" max="10" width="8.7109375" style="83"/>
    <col min="11" max="11" width="23.42578125" style="83" bestFit="1" customWidth="1"/>
    <col min="12" max="13" width="8.7109375" style="82"/>
    <col min="14" max="14" width="8.7109375" style="96"/>
    <col min="15" max="15" width="8.7109375" style="85"/>
  </cols>
  <sheetData>
    <row r="1" spans="1:15" ht="18.75">
      <c r="A1" s="81" t="s">
        <v>281</v>
      </c>
      <c r="N1" s="85"/>
    </row>
    <row r="2" spans="1:15" ht="39" thickBot="1">
      <c r="H2" s="86" t="s">
        <v>282</v>
      </c>
      <c r="N2" s="85"/>
      <c r="O2" s="86" t="s">
        <v>282</v>
      </c>
    </row>
    <row r="3" spans="1:15" ht="13.5" thickBot="1">
      <c r="B3" s="281" t="s">
        <v>283</v>
      </c>
      <c r="C3" s="282"/>
      <c r="D3" s="282"/>
      <c r="E3" s="282"/>
      <c r="F3" s="282"/>
      <c r="G3" s="282"/>
      <c r="H3" s="87"/>
      <c r="I3" s="283" t="s">
        <v>284</v>
      </c>
      <c r="J3" s="284"/>
      <c r="K3" s="284"/>
      <c r="L3" s="284"/>
      <c r="M3" s="284"/>
      <c r="N3" s="285"/>
      <c r="O3" s="88"/>
    </row>
    <row r="4" spans="1:15" ht="38.25">
      <c r="A4" s="18" t="s">
        <v>259</v>
      </c>
      <c r="B4" s="89" t="s">
        <v>365</v>
      </c>
      <c r="C4" s="86" t="s">
        <v>285</v>
      </c>
      <c r="D4" s="86" t="s">
        <v>286</v>
      </c>
      <c r="E4" s="90" t="s">
        <v>287</v>
      </c>
      <c r="F4" s="91" t="s">
        <v>288</v>
      </c>
      <c r="G4" s="86" t="s">
        <v>289</v>
      </c>
      <c r="H4" s="86" t="s">
        <v>191</v>
      </c>
      <c r="I4" s="89" t="s">
        <v>365</v>
      </c>
      <c r="J4" s="86" t="s">
        <v>285</v>
      </c>
      <c r="K4" s="86" t="s">
        <v>286</v>
      </c>
      <c r="L4" s="90" t="s">
        <v>287</v>
      </c>
      <c r="M4" s="91" t="s">
        <v>288</v>
      </c>
      <c r="N4" s="92" t="s">
        <v>289</v>
      </c>
      <c r="O4" s="86" t="s">
        <v>191</v>
      </c>
    </row>
    <row r="5" spans="1:15">
      <c r="A5" s="83" t="s">
        <v>41</v>
      </c>
      <c r="B5" s="82">
        <v>61.088101900993912</v>
      </c>
      <c r="C5" s="83" t="s">
        <v>291</v>
      </c>
      <c r="F5" s="93">
        <f t="shared" ref="F5:F69" si="0">IF(E5="",B5,E5)</f>
        <v>61.088101900993912</v>
      </c>
      <c r="G5" s="83" t="s">
        <v>291</v>
      </c>
      <c r="H5" s="94">
        <f t="shared" ref="H5:H69" si="1">IF(G5="Yes",F5*1.25,F5)</f>
        <v>61.088101900993912</v>
      </c>
      <c r="I5" s="95"/>
      <c r="L5" s="83"/>
      <c r="M5" s="83"/>
    </row>
    <row r="6" spans="1:15">
      <c r="A6" s="83" t="s">
        <v>42</v>
      </c>
      <c r="B6" s="82">
        <v>68.47</v>
      </c>
      <c r="C6" s="83" t="s">
        <v>291</v>
      </c>
      <c r="D6" s="83" t="s">
        <v>292</v>
      </c>
      <c r="F6" s="93">
        <f t="shared" si="0"/>
        <v>68.47</v>
      </c>
      <c r="G6" s="83" t="s">
        <v>291</v>
      </c>
      <c r="H6" s="94">
        <f t="shared" si="1"/>
        <v>68.47</v>
      </c>
      <c r="I6" s="84">
        <v>31.85</v>
      </c>
      <c r="J6" s="83" t="s">
        <v>291</v>
      </c>
      <c r="K6" s="83" t="s">
        <v>42</v>
      </c>
      <c r="M6" s="82">
        <f>IF(L6="",I6,L6)</f>
        <v>31.85</v>
      </c>
      <c r="N6" s="96" t="s">
        <v>291</v>
      </c>
      <c r="O6" s="94">
        <f>IF(N6="Yes",M6*1.25,M6)</f>
        <v>31.85</v>
      </c>
    </row>
    <row r="7" spans="1:15">
      <c r="A7" s="83" t="s">
        <v>43</v>
      </c>
      <c r="B7" s="82">
        <v>84.589239903247091</v>
      </c>
      <c r="C7" s="83" t="s">
        <v>291</v>
      </c>
      <c r="F7" s="93">
        <f t="shared" si="0"/>
        <v>84.589239903247091</v>
      </c>
      <c r="G7" s="83" t="s">
        <v>291</v>
      </c>
      <c r="H7" s="94">
        <f t="shared" si="1"/>
        <v>84.589239903247091</v>
      </c>
      <c r="I7" s="84">
        <v>55.08</v>
      </c>
      <c r="J7" s="83" t="s">
        <v>291</v>
      </c>
      <c r="K7" s="83" t="s">
        <v>43</v>
      </c>
      <c r="M7" s="82">
        <f>IF(L7="",I7,L7)</f>
        <v>55.08</v>
      </c>
      <c r="N7" s="96" t="s">
        <v>291</v>
      </c>
      <c r="O7" s="94">
        <f>IF(N7="Yes",M7*1.25,M7)</f>
        <v>55.08</v>
      </c>
    </row>
    <row r="8" spans="1:15">
      <c r="A8" s="83" t="s">
        <v>44</v>
      </c>
      <c r="B8" s="82">
        <v>41.804510031503902</v>
      </c>
      <c r="C8" s="83" t="s">
        <v>291</v>
      </c>
      <c r="F8" s="93">
        <f t="shared" si="0"/>
        <v>41.804510031503902</v>
      </c>
      <c r="G8" s="83" t="s">
        <v>291</v>
      </c>
      <c r="H8" s="94">
        <f t="shared" si="1"/>
        <v>41.804510031503902</v>
      </c>
      <c r="O8" s="94"/>
    </row>
    <row r="9" spans="1:15">
      <c r="A9" s="83" t="s">
        <v>45</v>
      </c>
      <c r="B9" s="82">
        <v>57.850752057923543</v>
      </c>
      <c r="C9" s="83" t="s">
        <v>291</v>
      </c>
      <c r="E9" s="83"/>
      <c r="F9" s="93">
        <f t="shared" si="0"/>
        <v>57.850752057923543</v>
      </c>
      <c r="G9" s="83" t="s">
        <v>291</v>
      </c>
      <c r="H9" s="94">
        <f t="shared" si="1"/>
        <v>57.850752057923543</v>
      </c>
    </row>
    <row r="10" spans="1:15">
      <c r="A10" s="83" t="s">
        <v>46</v>
      </c>
      <c r="B10" s="82">
        <v>47.090440553515954</v>
      </c>
      <c r="C10" s="83" t="s">
        <v>291</v>
      </c>
      <c r="E10" s="83"/>
      <c r="F10" s="93">
        <f t="shared" si="0"/>
        <v>47.090440553515954</v>
      </c>
      <c r="G10" s="83" t="s">
        <v>291</v>
      </c>
      <c r="H10" s="94">
        <f t="shared" si="1"/>
        <v>47.090440553515954</v>
      </c>
      <c r="I10" s="95"/>
      <c r="L10" s="83"/>
      <c r="M10" s="83"/>
    </row>
    <row r="11" spans="1:15">
      <c r="A11" s="83" t="s">
        <v>47</v>
      </c>
      <c r="B11" s="82">
        <v>46.397114235823913</v>
      </c>
      <c r="C11" s="83" t="s">
        <v>291</v>
      </c>
      <c r="E11" s="83"/>
      <c r="F11" s="93">
        <f t="shared" si="0"/>
        <v>46.397114235823913</v>
      </c>
      <c r="G11" s="83" t="s">
        <v>291</v>
      </c>
      <c r="H11" s="94">
        <f t="shared" si="1"/>
        <v>46.397114235823913</v>
      </c>
      <c r="I11" s="95"/>
      <c r="L11" s="83"/>
      <c r="M11" s="83"/>
    </row>
    <row r="12" spans="1:15">
      <c r="A12" s="83" t="s">
        <v>48</v>
      </c>
      <c r="B12" s="82">
        <v>69.410459484225683</v>
      </c>
      <c r="C12" s="83" t="s">
        <v>291</v>
      </c>
      <c r="E12" s="83"/>
      <c r="F12" s="93">
        <f t="shared" si="0"/>
        <v>69.410459484225683</v>
      </c>
      <c r="G12" s="83" t="s">
        <v>291</v>
      </c>
      <c r="H12" s="94">
        <f t="shared" si="1"/>
        <v>69.410459484225683</v>
      </c>
      <c r="I12" s="95"/>
      <c r="L12" s="83"/>
      <c r="M12" s="83"/>
    </row>
    <row r="13" spans="1:15">
      <c r="A13" s="83" t="s">
        <v>49</v>
      </c>
      <c r="B13" s="82">
        <v>49.380394383646504</v>
      </c>
      <c r="C13" s="83" t="s">
        <v>291</v>
      </c>
      <c r="E13" s="83"/>
      <c r="F13" s="93">
        <f t="shared" si="0"/>
        <v>49.380394383646504</v>
      </c>
      <c r="G13" s="83" t="s">
        <v>291</v>
      </c>
      <c r="H13" s="94">
        <f t="shared" si="1"/>
        <v>49.380394383646504</v>
      </c>
      <c r="I13" s="95"/>
      <c r="L13" s="83"/>
      <c r="M13" s="83"/>
    </row>
    <row r="14" spans="1:15">
      <c r="A14" s="83" t="s">
        <v>50</v>
      </c>
      <c r="B14" s="82">
        <v>39.337000254647315</v>
      </c>
      <c r="C14" s="83" t="s">
        <v>290</v>
      </c>
      <c r="D14" s="83" t="s">
        <v>293</v>
      </c>
      <c r="E14" s="83">
        <v>43.67</v>
      </c>
      <c r="F14" s="93">
        <f t="shared" si="0"/>
        <v>43.67</v>
      </c>
      <c r="G14" s="83" t="s">
        <v>291</v>
      </c>
      <c r="H14" s="94">
        <f t="shared" si="1"/>
        <v>43.67</v>
      </c>
      <c r="I14" s="95"/>
      <c r="L14" s="83"/>
      <c r="M14" s="83"/>
    </row>
    <row r="15" spans="1:15">
      <c r="A15" s="83" t="s">
        <v>52</v>
      </c>
      <c r="B15" s="82">
        <v>36.769900208865167</v>
      </c>
      <c r="C15" s="83" t="s">
        <v>290</v>
      </c>
      <c r="D15" s="83" t="s">
        <v>366</v>
      </c>
      <c r="E15" s="83">
        <v>39.61</v>
      </c>
      <c r="F15" s="93">
        <f t="shared" si="0"/>
        <v>39.61</v>
      </c>
      <c r="G15" s="83" t="s">
        <v>291</v>
      </c>
      <c r="H15" s="94">
        <f t="shared" si="1"/>
        <v>39.61</v>
      </c>
      <c r="I15" s="95"/>
      <c r="L15" s="83"/>
      <c r="M15" s="83"/>
    </row>
    <row r="16" spans="1:15">
      <c r="A16" s="83" t="s">
        <v>53</v>
      </c>
      <c r="B16" s="82">
        <v>37.354383915908898</v>
      </c>
      <c r="C16" s="83" t="s">
        <v>291</v>
      </c>
      <c r="E16" s="83"/>
      <c r="F16" s="93">
        <f t="shared" si="0"/>
        <v>37.354383915908898</v>
      </c>
      <c r="G16" s="83" t="s">
        <v>291</v>
      </c>
      <c r="H16" s="94">
        <f t="shared" si="1"/>
        <v>37.354383915908898</v>
      </c>
      <c r="I16" s="95"/>
      <c r="L16" s="83"/>
      <c r="M16" s="83"/>
    </row>
    <row r="17" spans="1:13">
      <c r="A17" s="83" t="s">
        <v>54</v>
      </c>
      <c r="B17" s="82">
        <v>48.144878237340542</v>
      </c>
      <c r="C17" s="83" t="s">
        <v>291</v>
      </c>
      <c r="E17" s="83"/>
      <c r="F17" s="93">
        <f t="shared" si="0"/>
        <v>48.144878237340542</v>
      </c>
      <c r="G17" s="83" t="s">
        <v>291</v>
      </c>
      <c r="H17" s="94">
        <f t="shared" si="1"/>
        <v>48.144878237340542</v>
      </c>
      <c r="I17" s="95"/>
      <c r="L17" s="83"/>
      <c r="M17" s="83"/>
    </row>
    <row r="18" spans="1:13">
      <c r="A18" s="83" t="s">
        <v>55</v>
      </c>
      <c r="B18" s="82">
        <v>41.562403796818884</v>
      </c>
      <c r="C18" s="83" t="s">
        <v>291</v>
      </c>
      <c r="E18" s="83"/>
      <c r="F18" s="93">
        <f t="shared" si="0"/>
        <v>41.562403796818884</v>
      </c>
      <c r="G18" s="83" t="s">
        <v>291</v>
      </c>
      <c r="H18" s="94">
        <f t="shared" si="1"/>
        <v>41.562403796818884</v>
      </c>
      <c r="I18" s="95"/>
      <c r="L18" s="83"/>
      <c r="M18" s="83"/>
    </row>
    <row r="19" spans="1:13">
      <c r="A19" s="83" t="s">
        <v>56</v>
      </c>
      <c r="B19" s="82">
        <v>45.782128151412266</v>
      </c>
      <c r="C19" s="83" t="s">
        <v>291</v>
      </c>
      <c r="E19" s="83"/>
      <c r="F19" s="93">
        <f t="shared" si="0"/>
        <v>45.782128151412266</v>
      </c>
      <c r="G19" s="83" t="s">
        <v>291</v>
      </c>
      <c r="H19" s="94">
        <f t="shared" si="1"/>
        <v>45.782128151412266</v>
      </c>
      <c r="I19" s="95"/>
      <c r="L19" s="83"/>
      <c r="M19" s="83"/>
    </row>
    <row r="20" spans="1:13">
      <c r="A20" s="83" t="s">
        <v>57</v>
      </c>
      <c r="B20" s="82">
        <v>54.550803685798108</v>
      </c>
      <c r="C20" s="83" t="s">
        <v>291</v>
      </c>
      <c r="E20" s="83"/>
      <c r="F20" s="93">
        <f t="shared" si="0"/>
        <v>54.550803685798108</v>
      </c>
      <c r="G20" s="83" t="s">
        <v>291</v>
      </c>
      <c r="H20" s="94">
        <f t="shared" si="1"/>
        <v>54.550803685798108</v>
      </c>
      <c r="I20" s="95"/>
      <c r="L20" s="83"/>
      <c r="M20" s="83"/>
    </row>
    <row r="21" spans="1:13">
      <c r="A21" s="83" t="s">
        <v>58</v>
      </c>
      <c r="B21" s="82">
        <v>40.485369463736767</v>
      </c>
      <c r="C21" s="83" t="s">
        <v>291</v>
      </c>
      <c r="E21" s="83"/>
      <c r="F21" s="93">
        <f t="shared" si="0"/>
        <v>40.485369463736767</v>
      </c>
      <c r="G21" s="83" t="s">
        <v>291</v>
      </c>
      <c r="H21" s="94">
        <f t="shared" si="1"/>
        <v>40.485369463736767</v>
      </c>
      <c r="I21" s="95"/>
      <c r="L21" s="83"/>
      <c r="M21" s="83"/>
    </row>
    <row r="22" spans="1:13">
      <c r="A22" s="83" t="s">
        <v>59</v>
      </c>
      <c r="B22" s="82">
        <v>48.270110957004164</v>
      </c>
      <c r="C22" s="83" t="s">
        <v>291</v>
      </c>
      <c r="E22" s="83"/>
      <c r="F22" s="93">
        <f t="shared" si="0"/>
        <v>48.270110957004164</v>
      </c>
      <c r="G22" s="83" t="s">
        <v>291</v>
      </c>
      <c r="H22" s="94">
        <f t="shared" si="1"/>
        <v>48.270110957004164</v>
      </c>
      <c r="I22" s="95"/>
      <c r="L22" s="83"/>
      <c r="M22" s="83"/>
    </row>
    <row r="23" spans="1:13">
      <c r="A23" s="83" t="s">
        <v>60</v>
      </c>
      <c r="B23" s="82">
        <v>69.92883521894602</v>
      </c>
      <c r="C23" s="83" t="s">
        <v>291</v>
      </c>
      <c r="E23" s="83"/>
      <c r="F23" s="93">
        <f t="shared" si="0"/>
        <v>69.92883521894602</v>
      </c>
      <c r="G23" s="83" t="s">
        <v>291</v>
      </c>
      <c r="H23" s="94">
        <f t="shared" si="1"/>
        <v>69.92883521894602</v>
      </c>
      <c r="I23" s="95"/>
      <c r="L23" s="83"/>
      <c r="M23" s="83"/>
    </row>
    <row r="24" spans="1:13">
      <c r="A24" s="83" t="s">
        <v>61</v>
      </c>
      <c r="B24" s="82">
        <v>54.130192338774847</v>
      </c>
      <c r="C24" s="83" t="s">
        <v>291</v>
      </c>
      <c r="E24" s="83"/>
      <c r="F24" s="93">
        <f t="shared" si="0"/>
        <v>54.130192338774847</v>
      </c>
      <c r="G24" s="83" t="s">
        <v>291</v>
      </c>
      <c r="H24" s="94">
        <f t="shared" si="1"/>
        <v>54.130192338774847</v>
      </c>
      <c r="I24" s="95"/>
      <c r="L24" s="83"/>
      <c r="M24" s="83"/>
    </row>
    <row r="25" spans="1:13">
      <c r="A25" s="98" t="s">
        <v>63</v>
      </c>
      <c r="B25" s="82">
        <v>53.780050687907313</v>
      </c>
      <c r="C25" s="83" t="s">
        <v>291</v>
      </c>
      <c r="E25" s="83"/>
      <c r="F25" s="93">
        <f t="shared" si="0"/>
        <v>53.780050687907313</v>
      </c>
      <c r="G25" s="83" t="s">
        <v>291</v>
      </c>
      <c r="H25" s="94">
        <f t="shared" si="1"/>
        <v>53.780050687907313</v>
      </c>
      <c r="I25" s="95"/>
      <c r="L25" s="83"/>
      <c r="M25" s="83"/>
    </row>
    <row r="26" spans="1:13">
      <c r="A26" s="83" t="s">
        <v>64</v>
      </c>
      <c r="B26" s="82">
        <v>64.483832080555942</v>
      </c>
      <c r="C26" s="83" t="s">
        <v>291</v>
      </c>
      <c r="E26" s="83"/>
      <c r="F26" s="93">
        <f t="shared" si="0"/>
        <v>64.483832080555942</v>
      </c>
      <c r="G26" s="83" t="s">
        <v>291</v>
      </c>
      <c r="H26" s="94">
        <f t="shared" si="1"/>
        <v>64.483832080555942</v>
      </c>
      <c r="I26" s="95"/>
      <c r="L26" s="83"/>
      <c r="M26" s="83"/>
    </row>
    <row r="27" spans="1:13">
      <c r="A27" s="83" t="s">
        <v>65</v>
      </c>
      <c r="B27" s="82">
        <v>58.132527472527471</v>
      </c>
      <c r="C27" s="83" t="s">
        <v>291</v>
      </c>
      <c r="E27" s="83"/>
      <c r="F27" s="93">
        <f t="shared" si="0"/>
        <v>58.132527472527471</v>
      </c>
      <c r="G27" s="83" t="s">
        <v>291</v>
      </c>
      <c r="H27" s="94">
        <f t="shared" si="1"/>
        <v>58.132527472527471</v>
      </c>
      <c r="I27" s="95"/>
      <c r="L27" s="83"/>
      <c r="M27" s="83"/>
    </row>
    <row r="28" spans="1:13">
      <c r="A28" s="83" t="s">
        <v>66</v>
      </c>
      <c r="B28" s="82">
        <v>77.852020267636746</v>
      </c>
      <c r="C28" s="83" t="s">
        <v>291</v>
      </c>
      <c r="E28" s="83"/>
      <c r="F28" s="93">
        <f t="shared" si="0"/>
        <v>77.852020267636746</v>
      </c>
      <c r="G28" s="83" t="s">
        <v>291</v>
      </c>
      <c r="H28" s="94">
        <f t="shared" si="1"/>
        <v>77.852020267636746</v>
      </c>
      <c r="I28" s="95"/>
      <c r="L28" s="83"/>
      <c r="M28" s="83"/>
    </row>
    <row r="29" spans="1:13">
      <c r="A29" s="83" t="s">
        <v>264</v>
      </c>
      <c r="B29" s="82">
        <v>61.231576253838277</v>
      </c>
      <c r="C29" s="83" t="s">
        <v>291</v>
      </c>
      <c r="E29" s="83"/>
      <c r="F29" s="93">
        <f t="shared" si="0"/>
        <v>61.231576253838277</v>
      </c>
      <c r="G29" s="83" t="s">
        <v>291</v>
      </c>
      <c r="H29" s="94">
        <f t="shared" si="1"/>
        <v>61.231576253838277</v>
      </c>
      <c r="I29" s="95"/>
      <c r="L29" s="83"/>
      <c r="M29" s="83"/>
    </row>
    <row r="30" spans="1:13">
      <c r="A30" s="83" t="s">
        <v>67</v>
      </c>
      <c r="B30" s="82">
        <v>64.449641293207875</v>
      </c>
      <c r="C30" s="83" t="s">
        <v>291</v>
      </c>
      <c r="E30" s="83"/>
      <c r="F30" s="93">
        <f t="shared" si="0"/>
        <v>64.449641293207875</v>
      </c>
      <c r="G30" s="83" t="s">
        <v>291</v>
      </c>
      <c r="H30" s="94">
        <f t="shared" si="1"/>
        <v>64.449641293207875</v>
      </c>
      <c r="I30" s="95"/>
      <c r="L30" s="83"/>
      <c r="M30" s="83"/>
    </row>
    <row r="31" spans="1:13">
      <c r="A31" s="83" t="s">
        <v>356</v>
      </c>
      <c r="B31" s="82">
        <v>64.449641293207875</v>
      </c>
      <c r="C31" s="83" t="s">
        <v>291</v>
      </c>
      <c r="E31" s="83"/>
      <c r="F31" s="93">
        <f t="shared" si="0"/>
        <v>64.449641293207875</v>
      </c>
      <c r="G31" s="83" t="s">
        <v>291</v>
      </c>
      <c r="H31" s="94">
        <f t="shared" si="1"/>
        <v>64.449641293207875</v>
      </c>
      <c r="I31" s="95"/>
      <c r="L31" s="83"/>
      <c r="M31" s="83"/>
    </row>
    <row r="32" spans="1:13">
      <c r="A32" s="83" t="s">
        <v>68</v>
      </c>
      <c r="B32" s="82">
        <v>54.597002262443439</v>
      </c>
      <c r="C32" s="83" t="s">
        <v>291</v>
      </c>
      <c r="E32" s="83"/>
      <c r="F32" s="93">
        <f t="shared" si="0"/>
        <v>54.597002262443439</v>
      </c>
      <c r="G32" s="83" t="s">
        <v>291</v>
      </c>
      <c r="H32" s="94">
        <f t="shared" si="1"/>
        <v>54.597002262443439</v>
      </c>
      <c r="I32" s="95"/>
      <c r="L32" s="83"/>
      <c r="M32" s="83"/>
    </row>
    <row r="33" spans="1:13">
      <c r="A33" s="83" t="s">
        <v>69</v>
      </c>
      <c r="B33" s="82">
        <v>47.34749776892977</v>
      </c>
      <c r="C33" s="83" t="s">
        <v>291</v>
      </c>
      <c r="E33" s="83"/>
      <c r="F33" s="93">
        <f t="shared" si="0"/>
        <v>47.34749776892977</v>
      </c>
      <c r="G33" s="83" t="s">
        <v>291</v>
      </c>
      <c r="H33" s="94">
        <f t="shared" si="1"/>
        <v>47.34749776892977</v>
      </c>
      <c r="I33" s="95"/>
      <c r="L33" s="83"/>
      <c r="M33" s="83"/>
    </row>
    <row r="34" spans="1:13">
      <c r="A34" s="83" t="s">
        <v>70</v>
      </c>
      <c r="B34" s="82">
        <v>54.130192338774847</v>
      </c>
      <c r="C34" s="83" t="s">
        <v>291</v>
      </c>
      <c r="E34" s="83"/>
      <c r="F34" s="93">
        <f t="shared" si="0"/>
        <v>54.130192338774847</v>
      </c>
      <c r="G34" s="83" t="s">
        <v>291</v>
      </c>
      <c r="H34" s="94">
        <f t="shared" si="1"/>
        <v>54.130192338774847</v>
      </c>
      <c r="I34" s="95"/>
      <c r="L34" s="83"/>
      <c r="M34" s="83"/>
    </row>
    <row r="35" spans="1:13">
      <c r="A35" s="83" t="s">
        <v>71</v>
      </c>
      <c r="B35" s="82">
        <v>38.58057840275935</v>
      </c>
      <c r="C35" s="83" t="s">
        <v>291</v>
      </c>
      <c r="E35" s="83"/>
      <c r="F35" s="93">
        <f t="shared" si="0"/>
        <v>38.58057840275935</v>
      </c>
      <c r="G35" s="83" t="s">
        <v>291</v>
      </c>
      <c r="H35" s="94">
        <f t="shared" si="1"/>
        <v>38.58057840275935</v>
      </c>
      <c r="I35" s="95"/>
      <c r="L35" s="83"/>
      <c r="M35" s="83"/>
    </row>
    <row r="36" spans="1:13">
      <c r="A36" s="83" t="s">
        <v>72</v>
      </c>
      <c r="B36" s="82">
        <v>57.464774951076322</v>
      </c>
      <c r="C36" s="83" t="s">
        <v>291</v>
      </c>
      <c r="E36" s="83"/>
      <c r="F36" s="93">
        <f t="shared" si="0"/>
        <v>57.464774951076322</v>
      </c>
      <c r="G36" s="83" t="s">
        <v>291</v>
      </c>
      <c r="H36" s="94">
        <f t="shared" si="1"/>
        <v>57.464774951076322</v>
      </c>
      <c r="I36" s="95"/>
      <c r="L36" s="83"/>
      <c r="M36" s="83"/>
    </row>
    <row r="37" spans="1:13">
      <c r="A37" s="83" t="s">
        <v>73</v>
      </c>
      <c r="B37" s="82">
        <v>32.284794742527907</v>
      </c>
      <c r="C37" s="83" t="s">
        <v>291</v>
      </c>
      <c r="E37" s="83"/>
      <c r="F37" s="93">
        <f t="shared" si="0"/>
        <v>32.284794742527907</v>
      </c>
      <c r="G37" s="83" t="s">
        <v>291</v>
      </c>
      <c r="H37" s="94">
        <f t="shared" si="1"/>
        <v>32.284794742527907</v>
      </c>
      <c r="I37" s="95"/>
      <c r="L37" s="83"/>
      <c r="M37" s="83"/>
    </row>
    <row r="38" spans="1:13">
      <c r="A38" s="83" t="s">
        <v>74</v>
      </c>
      <c r="B38" s="82">
        <v>56.820785927539738</v>
      </c>
      <c r="C38" s="83" t="s">
        <v>291</v>
      </c>
      <c r="E38" s="83"/>
      <c r="F38" s="93">
        <f t="shared" si="0"/>
        <v>56.820785927539738</v>
      </c>
      <c r="G38" s="83" t="s">
        <v>291</v>
      </c>
      <c r="H38" s="94">
        <f t="shared" si="1"/>
        <v>56.820785927539738</v>
      </c>
      <c r="I38" s="95"/>
      <c r="L38" s="83"/>
      <c r="M38" s="83"/>
    </row>
    <row r="39" spans="1:13">
      <c r="A39" s="83" t="s">
        <v>75</v>
      </c>
      <c r="B39" s="82">
        <v>67.039624329159224</v>
      </c>
      <c r="C39" s="83" t="s">
        <v>291</v>
      </c>
      <c r="E39" s="83"/>
      <c r="F39" s="93">
        <f t="shared" si="0"/>
        <v>67.039624329159224</v>
      </c>
      <c r="G39" s="83" t="s">
        <v>291</v>
      </c>
      <c r="H39" s="94">
        <f t="shared" si="1"/>
        <v>67.039624329159224</v>
      </c>
      <c r="I39" s="95"/>
      <c r="L39" s="83"/>
      <c r="M39" s="83"/>
    </row>
    <row r="40" spans="1:13">
      <c r="A40" s="83" t="s">
        <v>76</v>
      </c>
      <c r="B40" s="82">
        <v>59.761819448591623</v>
      </c>
      <c r="C40" s="83" t="s">
        <v>291</v>
      </c>
      <c r="E40" s="83"/>
      <c r="F40" s="93">
        <f t="shared" si="0"/>
        <v>59.761819448591623</v>
      </c>
      <c r="G40" s="83" t="s">
        <v>291</v>
      </c>
      <c r="H40" s="94">
        <f t="shared" si="1"/>
        <v>59.761819448591623</v>
      </c>
      <c r="I40" s="95"/>
      <c r="L40" s="83"/>
      <c r="M40" s="83"/>
    </row>
    <row r="41" spans="1:13">
      <c r="A41" s="83" t="s">
        <v>77</v>
      </c>
      <c r="B41" s="82">
        <v>55.781133181851494</v>
      </c>
      <c r="C41" s="83" t="s">
        <v>291</v>
      </c>
      <c r="E41" s="83"/>
      <c r="F41" s="93">
        <f t="shared" si="0"/>
        <v>55.781133181851494</v>
      </c>
      <c r="G41" s="83" t="s">
        <v>291</v>
      </c>
      <c r="H41" s="94">
        <f t="shared" si="1"/>
        <v>55.781133181851494</v>
      </c>
      <c r="I41" s="95"/>
      <c r="L41" s="83"/>
      <c r="M41" s="83"/>
    </row>
    <row r="42" spans="1:13">
      <c r="A42" s="83" t="s">
        <v>78</v>
      </c>
      <c r="B42" s="82">
        <v>48.399541284403675</v>
      </c>
      <c r="C42" s="83" t="s">
        <v>291</v>
      </c>
      <c r="E42" s="83"/>
      <c r="F42" s="93">
        <f t="shared" si="0"/>
        <v>48.399541284403675</v>
      </c>
      <c r="G42" s="83" t="s">
        <v>291</v>
      </c>
      <c r="H42" s="94">
        <f t="shared" si="1"/>
        <v>48.399541284403675</v>
      </c>
      <c r="I42" s="95"/>
      <c r="L42" s="83"/>
      <c r="M42" s="83"/>
    </row>
    <row r="43" spans="1:13">
      <c r="A43" s="83" t="s">
        <v>79</v>
      </c>
      <c r="B43" s="82">
        <v>65.976316145621865</v>
      </c>
      <c r="C43" s="83" t="s">
        <v>291</v>
      </c>
      <c r="E43" s="83"/>
      <c r="F43" s="93">
        <f t="shared" si="0"/>
        <v>65.976316145621865</v>
      </c>
      <c r="G43" s="83" t="s">
        <v>291</v>
      </c>
      <c r="H43" s="94">
        <f t="shared" si="1"/>
        <v>65.976316145621865</v>
      </c>
      <c r="I43" s="95"/>
      <c r="L43" s="83"/>
      <c r="M43" s="83"/>
    </row>
    <row r="44" spans="1:13">
      <c r="A44" s="83" t="s">
        <v>80</v>
      </c>
      <c r="B44" s="82">
        <v>54.649854343976692</v>
      </c>
      <c r="C44" s="83" t="s">
        <v>291</v>
      </c>
      <c r="E44" s="83"/>
      <c r="F44" s="93">
        <f t="shared" si="0"/>
        <v>54.649854343976692</v>
      </c>
      <c r="G44" s="83" t="s">
        <v>291</v>
      </c>
      <c r="H44" s="94">
        <f t="shared" si="1"/>
        <v>54.649854343976692</v>
      </c>
      <c r="I44" s="95"/>
      <c r="L44" s="83"/>
      <c r="M44" s="83"/>
    </row>
    <row r="45" spans="1:13">
      <c r="A45" s="83" t="s">
        <v>81</v>
      </c>
      <c r="B45" s="82">
        <v>40.239565047786236</v>
      </c>
      <c r="C45" s="83" t="s">
        <v>291</v>
      </c>
      <c r="E45" s="83"/>
      <c r="F45" s="93">
        <f t="shared" si="0"/>
        <v>40.239565047786236</v>
      </c>
      <c r="G45" s="83" t="s">
        <v>291</v>
      </c>
      <c r="H45" s="94">
        <f t="shared" si="1"/>
        <v>40.239565047786236</v>
      </c>
      <c r="I45" s="95"/>
      <c r="L45" s="83"/>
      <c r="M45" s="83"/>
    </row>
    <row r="46" spans="1:13">
      <c r="A46" s="83" t="s">
        <v>82</v>
      </c>
      <c r="B46" s="82">
        <v>39.603990967325686</v>
      </c>
      <c r="C46" s="83" t="s">
        <v>291</v>
      </c>
      <c r="F46" s="93">
        <f t="shared" si="0"/>
        <v>39.603990967325686</v>
      </c>
      <c r="G46" s="83" t="s">
        <v>291</v>
      </c>
      <c r="H46" s="94">
        <f t="shared" si="1"/>
        <v>39.603990967325686</v>
      </c>
      <c r="I46" s="95"/>
      <c r="L46" s="83"/>
      <c r="M46" s="83"/>
    </row>
    <row r="47" spans="1:13">
      <c r="A47" s="83" t="s">
        <v>83</v>
      </c>
      <c r="B47" s="82">
        <v>44.270149383359389</v>
      </c>
      <c r="C47" s="83" t="s">
        <v>291</v>
      </c>
      <c r="E47" s="83"/>
      <c r="F47" s="93">
        <f t="shared" si="0"/>
        <v>44.270149383359389</v>
      </c>
      <c r="G47" s="83" t="s">
        <v>291</v>
      </c>
      <c r="H47" s="94">
        <f t="shared" si="1"/>
        <v>44.270149383359389</v>
      </c>
      <c r="I47" s="95"/>
      <c r="L47" s="83"/>
      <c r="M47" s="83"/>
    </row>
    <row r="48" spans="1:13">
      <c r="A48" s="83" t="s">
        <v>84</v>
      </c>
      <c r="B48" s="82">
        <v>39.230392529041076</v>
      </c>
      <c r="C48" s="83" t="s">
        <v>291</v>
      </c>
      <c r="E48" s="83"/>
      <c r="F48" s="93">
        <f t="shared" si="0"/>
        <v>39.230392529041076</v>
      </c>
      <c r="G48" s="83" t="s">
        <v>291</v>
      </c>
      <c r="H48" s="94">
        <f t="shared" si="1"/>
        <v>39.230392529041076</v>
      </c>
      <c r="I48" s="95"/>
      <c r="L48" s="83"/>
      <c r="M48" s="83"/>
    </row>
    <row r="49" spans="1:13">
      <c r="A49" s="83" t="s">
        <v>85</v>
      </c>
      <c r="B49" s="82">
        <v>39.603990967325686</v>
      </c>
      <c r="C49" s="83" t="s">
        <v>290</v>
      </c>
      <c r="D49" s="83" t="s">
        <v>294</v>
      </c>
      <c r="E49" s="83">
        <v>56.98</v>
      </c>
      <c r="F49" s="93">
        <f t="shared" si="0"/>
        <v>56.98</v>
      </c>
      <c r="G49" s="83" t="s">
        <v>291</v>
      </c>
      <c r="H49" s="94">
        <f t="shared" si="1"/>
        <v>56.98</v>
      </c>
      <c r="I49" s="95"/>
      <c r="L49" s="83"/>
      <c r="M49" s="83"/>
    </row>
    <row r="50" spans="1:13">
      <c r="A50" s="83" t="s">
        <v>265</v>
      </c>
      <c r="B50" s="82">
        <v>39.603990967325686</v>
      </c>
      <c r="C50" s="83" t="s">
        <v>290</v>
      </c>
      <c r="D50" s="83" t="s">
        <v>367</v>
      </c>
      <c r="E50" s="83">
        <v>46.01</v>
      </c>
      <c r="F50" s="93">
        <f t="shared" si="0"/>
        <v>46.01</v>
      </c>
      <c r="G50" s="83" t="s">
        <v>291</v>
      </c>
      <c r="H50" s="94">
        <f t="shared" si="1"/>
        <v>46.01</v>
      </c>
      <c r="I50" s="95"/>
      <c r="L50" s="83"/>
      <c r="M50" s="83"/>
    </row>
    <row r="51" spans="1:13">
      <c r="A51" s="83" t="s">
        <v>87</v>
      </c>
      <c r="B51" s="82">
        <v>42.555012398157992</v>
      </c>
      <c r="C51" s="83" t="s">
        <v>291</v>
      </c>
      <c r="E51" s="83"/>
      <c r="F51" s="93">
        <f t="shared" si="0"/>
        <v>42.555012398157992</v>
      </c>
      <c r="G51" s="83" t="s">
        <v>291</v>
      </c>
      <c r="H51" s="94">
        <f t="shared" si="1"/>
        <v>42.555012398157992</v>
      </c>
      <c r="I51" s="95"/>
      <c r="L51" s="83"/>
      <c r="M51" s="83"/>
    </row>
    <row r="52" spans="1:13">
      <c r="A52" s="83" t="s">
        <v>88</v>
      </c>
      <c r="B52" s="82">
        <v>44.789208433512115</v>
      </c>
      <c r="C52" s="83" t="s">
        <v>291</v>
      </c>
      <c r="E52" s="83"/>
      <c r="F52" s="93">
        <f t="shared" si="0"/>
        <v>44.789208433512115</v>
      </c>
      <c r="G52" s="83" t="s">
        <v>291</v>
      </c>
      <c r="H52" s="94">
        <f t="shared" si="1"/>
        <v>44.789208433512115</v>
      </c>
      <c r="I52" s="95"/>
      <c r="L52" s="83"/>
      <c r="M52" s="83"/>
    </row>
    <row r="53" spans="1:13">
      <c r="A53" s="83" t="s">
        <v>89</v>
      </c>
      <c r="B53" s="82">
        <v>52.741440899056798</v>
      </c>
      <c r="C53" s="83" t="s">
        <v>291</v>
      </c>
      <c r="E53" s="83"/>
      <c r="F53" s="93">
        <f t="shared" si="0"/>
        <v>52.741440899056798</v>
      </c>
      <c r="G53" s="83" t="s">
        <v>291</v>
      </c>
      <c r="H53" s="94">
        <f t="shared" si="1"/>
        <v>52.741440899056798</v>
      </c>
      <c r="I53" s="95"/>
      <c r="L53" s="83"/>
      <c r="M53" s="83"/>
    </row>
    <row r="54" spans="1:13">
      <c r="A54" s="83" t="s">
        <v>90</v>
      </c>
      <c r="B54" s="82">
        <v>56.426590840259784</v>
      </c>
      <c r="C54" s="83" t="s">
        <v>291</v>
      </c>
      <c r="E54" s="83"/>
      <c r="F54" s="93">
        <f t="shared" si="0"/>
        <v>56.426590840259784</v>
      </c>
      <c r="G54" s="83" t="s">
        <v>291</v>
      </c>
      <c r="H54" s="94">
        <f t="shared" si="1"/>
        <v>56.426590840259784</v>
      </c>
      <c r="I54" s="95"/>
      <c r="L54" s="83"/>
      <c r="M54" s="83"/>
    </row>
    <row r="55" spans="1:13">
      <c r="A55" s="83" t="s">
        <v>91</v>
      </c>
      <c r="B55" s="82">
        <v>51.965752280396941</v>
      </c>
      <c r="C55" s="83" t="s">
        <v>291</v>
      </c>
      <c r="E55" s="83"/>
      <c r="F55" s="93">
        <f t="shared" si="0"/>
        <v>51.965752280396941</v>
      </c>
      <c r="G55" s="83" t="s">
        <v>291</v>
      </c>
      <c r="H55" s="94">
        <f t="shared" si="1"/>
        <v>51.965752280396941</v>
      </c>
      <c r="I55" s="95"/>
      <c r="L55" s="83"/>
      <c r="M55" s="83"/>
    </row>
    <row r="56" spans="1:13">
      <c r="A56" s="83" t="s">
        <v>92</v>
      </c>
      <c r="B56" s="82">
        <v>51.460392407082473</v>
      </c>
      <c r="C56" s="83" t="s">
        <v>291</v>
      </c>
      <c r="F56" s="93">
        <f t="shared" si="0"/>
        <v>51.460392407082473</v>
      </c>
      <c r="G56" s="83" t="s">
        <v>291</v>
      </c>
      <c r="H56" s="94">
        <f t="shared" si="1"/>
        <v>51.460392407082473</v>
      </c>
      <c r="I56" s="95"/>
      <c r="L56" s="83"/>
      <c r="M56" s="83"/>
    </row>
    <row r="57" spans="1:13">
      <c r="A57" s="83" t="s">
        <v>93</v>
      </c>
      <c r="B57" s="82">
        <v>56.535299786315832</v>
      </c>
      <c r="C57" s="83" t="s">
        <v>291</v>
      </c>
      <c r="D57" s="98"/>
      <c r="E57" s="98"/>
      <c r="F57" s="93">
        <f t="shared" si="0"/>
        <v>56.535299786315832</v>
      </c>
      <c r="G57" s="98" t="s">
        <v>291</v>
      </c>
      <c r="H57" s="94">
        <f t="shared" si="1"/>
        <v>56.535299786315832</v>
      </c>
      <c r="I57" s="95"/>
      <c r="L57" s="83"/>
      <c r="M57" s="83"/>
    </row>
    <row r="58" spans="1:13">
      <c r="A58" s="83" t="s">
        <v>94</v>
      </c>
      <c r="B58" s="82">
        <v>56.426590840259784</v>
      </c>
      <c r="C58" s="83" t="s">
        <v>291</v>
      </c>
      <c r="E58" s="83"/>
      <c r="F58" s="93">
        <f t="shared" si="0"/>
        <v>56.426590840259784</v>
      </c>
      <c r="G58" s="83" t="s">
        <v>291</v>
      </c>
      <c r="H58" s="94">
        <f t="shared" si="1"/>
        <v>56.426590840259784</v>
      </c>
      <c r="I58" s="95"/>
      <c r="L58" s="83"/>
      <c r="M58" s="83"/>
    </row>
    <row r="59" spans="1:13">
      <c r="A59" s="83" t="s">
        <v>95</v>
      </c>
      <c r="B59" s="82">
        <v>60.507909776096746</v>
      </c>
      <c r="C59" s="83" t="s">
        <v>291</v>
      </c>
      <c r="E59" s="83"/>
      <c r="F59" s="93">
        <f t="shared" si="0"/>
        <v>60.507909776096746</v>
      </c>
      <c r="G59" s="83" t="s">
        <v>291</v>
      </c>
      <c r="H59" s="94">
        <f t="shared" si="1"/>
        <v>60.507909776096746</v>
      </c>
      <c r="I59" s="95"/>
      <c r="L59" s="83"/>
      <c r="M59" s="83"/>
    </row>
    <row r="60" spans="1:13">
      <c r="A60" s="83" t="s">
        <v>96</v>
      </c>
      <c r="B60" s="82">
        <v>61.104870311625312</v>
      </c>
      <c r="C60" s="83" t="s">
        <v>291</v>
      </c>
      <c r="E60" s="83"/>
      <c r="F60" s="93">
        <f t="shared" si="0"/>
        <v>61.104870311625312</v>
      </c>
      <c r="G60" s="83" t="s">
        <v>291</v>
      </c>
      <c r="H60" s="94">
        <f t="shared" si="1"/>
        <v>61.104870311625312</v>
      </c>
      <c r="I60" s="95"/>
      <c r="L60" s="83"/>
      <c r="M60" s="83"/>
    </row>
    <row r="61" spans="1:13">
      <c r="A61" s="83" t="s">
        <v>97</v>
      </c>
      <c r="B61" s="82">
        <v>63.720487488281535</v>
      </c>
      <c r="C61" s="83" t="s">
        <v>291</v>
      </c>
      <c r="E61" s="83"/>
      <c r="F61" s="93">
        <f t="shared" si="0"/>
        <v>63.720487488281535</v>
      </c>
      <c r="G61" s="83" t="s">
        <v>291</v>
      </c>
      <c r="H61" s="94">
        <f t="shared" si="1"/>
        <v>63.720487488281535</v>
      </c>
      <c r="I61" s="95"/>
      <c r="L61" s="83"/>
      <c r="M61" s="83"/>
    </row>
    <row r="62" spans="1:13">
      <c r="A62" s="83" t="s">
        <v>98</v>
      </c>
      <c r="B62" s="82">
        <v>49.59559106250267</v>
      </c>
      <c r="C62" s="83" t="s">
        <v>291</v>
      </c>
      <c r="E62" s="83"/>
      <c r="F62" s="93">
        <f t="shared" si="0"/>
        <v>49.59559106250267</v>
      </c>
      <c r="G62" s="83" t="s">
        <v>291</v>
      </c>
      <c r="H62" s="94">
        <f t="shared" si="1"/>
        <v>49.59559106250267</v>
      </c>
      <c r="I62" s="95"/>
      <c r="L62" s="83"/>
      <c r="M62" s="83"/>
    </row>
    <row r="63" spans="1:13">
      <c r="A63" s="83" t="s">
        <v>266</v>
      </c>
      <c r="B63" s="82">
        <v>90.392942998003505</v>
      </c>
      <c r="C63" s="83" t="s">
        <v>291</v>
      </c>
      <c r="E63" s="83"/>
      <c r="F63" s="93">
        <f t="shared" si="0"/>
        <v>90.392942998003505</v>
      </c>
      <c r="G63" s="83" t="s">
        <v>291</v>
      </c>
      <c r="H63" s="94">
        <f t="shared" si="1"/>
        <v>90.392942998003505</v>
      </c>
      <c r="I63" s="95"/>
      <c r="L63" s="83"/>
      <c r="M63" s="83"/>
    </row>
    <row r="64" spans="1:13">
      <c r="A64" s="83" t="s">
        <v>99</v>
      </c>
      <c r="B64" s="82">
        <v>39.337000254647315</v>
      </c>
      <c r="C64" s="83" t="s">
        <v>291</v>
      </c>
      <c r="F64" s="93">
        <f t="shared" si="0"/>
        <v>39.337000254647315</v>
      </c>
      <c r="G64" s="83" t="s">
        <v>291</v>
      </c>
      <c r="H64" s="94">
        <f t="shared" si="1"/>
        <v>39.337000254647315</v>
      </c>
      <c r="I64" s="95"/>
      <c r="L64" s="83"/>
      <c r="M64" s="83"/>
    </row>
    <row r="65" spans="1:15">
      <c r="A65" s="83" t="s">
        <v>100</v>
      </c>
      <c r="B65" s="82">
        <v>49.048188405797099</v>
      </c>
      <c r="C65" s="83" t="s">
        <v>291</v>
      </c>
      <c r="F65" s="93">
        <f t="shared" si="0"/>
        <v>49.048188405797099</v>
      </c>
      <c r="G65" s="83" t="s">
        <v>291</v>
      </c>
      <c r="H65" s="94">
        <f t="shared" si="1"/>
        <v>49.048188405797099</v>
      </c>
      <c r="I65" s="95"/>
      <c r="L65" s="83"/>
      <c r="M65" s="83"/>
    </row>
    <row r="66" spans="1:15">
      <c r="A66" s="83" t="s">
        <v>101</v>
      </c>
      <c r="B66" s="82">
        <v>39.337000254647315</v>
      </c>
      <c r="C66" s="83" t="s">
        <v>291</v>
      </c>
      <c r="E66" s="83"/>
      <c r="F66" s="93">
        <f t="shared" si="0"/>
        <v>39.337000254647315</v>
      </c>
      <c r="G66" s="83" t="s">
        <v>291</v>
      </c>
      <c r="H66" s="94">
        <f t="shared" si="1"/>
        <v>39.337000254647315</v>
      </c>
      <c r="I66" s="95"/>
      <c r="L66" s="83"/>
      <c r="M66" s="83"/>
    </row>
    <row r="67" spans="1:15">
      <c r="A67" s="83" t="s">
        <v>102</v>
      </c>
      <c r="B67" s="82">
        <v>39.337000254647315</v>
      </c>
      <c r="C67" s="83" t="s">
        <v>291</v>
      </c>
      <c r="E67" s="83"/>
      <c r="F67" s="93">
        <f t="shared" si="0"/>
        <v>39.337000254647315</v>
      </c>
      <c r="G67" s="83" t="s">
        <v>291</v>
      </c>
      <c r="H67" s="94">
        <f t="shared" si="1"/>
        <v>39.337000254647315</v>
      </c>
      <c r="I67" s="95"/>
      <c r="L67" s="83"/>
      <c r="M67" s="83"/>
    </row>
    <row r="68" spans="1:15">
      <c r="A68" s="83" t="s">
        <v>103</v>
      </c>
      <c r="B68" s="82">
        <v>39.337000254647315</v>
      </c>
      <c r="C68" s="83" t="s">
        <v>291</v>
      </c>
      <c r="E68" s="83"/>
      <c r="F68" s="93">
        <f t="shared" si="0"/>
        <v>39.337000254647315</v>
      </c>
      <c r="G68" s="83" t="s">
        <v>291</v>
      </c>
      <c r="H68" s="94">
        <f t="shared" si="1"/>
        <v>39.337000254647315</v>
      </c>
      <c r="I68" s="95"/>
      <c r="L68" s="83"/>
      <c r="M68" s="83"/>
    </row>
    <row r="69" spans="1:15">
      <c r="A69" s="83" t="s">
        <v>104</v>
      </c>
      <c r="B69" s="82">
        <v>39.337000254647315</v>
      </c>
      <c r="C69" s="83" t="s">
        <v>291</v>
      </c>
      <c r="E69" s="83"/>
      <c r="F69" s="93">
        <f t="shared" si="0"/>
        <v>39.337000254647315</v>
      </c>
      <c r="G69" s="83" t="s">
        <v>291</v>
      </c>
      <c r="H69" s="94">
        <f t="shared" si="1"/>
        <v>39.337000254647315</v>
      </c>
      <c r="I69" s="95"/>
      <c r="L69" s="83"/>
      <c r="M69" s="83"/>
    </row>
    <row r="70" spans="1:15">
      <c r="A70" s="83" t="s">
        <v>105</v>
      </c>
      <c r="B70" s="82">
        <v>64.576119935748707</v>
      </c>
      <c r="C70" s="83" t="s">
        <v>291</v>
      </c>
      <c r="E70" s="83"/>
      <c r="F70" s="93">
        <f t="shared" ref="F70:F134" si="2">IF(E70="",B70,E70)</f>
        <v>64.576119935748707</v>
      </c>
      <c r="G70" s="83" t="s">
        <v>291</v>
      </c>
      <c r="H70" s="94">
        <f t="shared" ref="H70:H134" si="3">IF(G70="Yes",F70*1.25,F70)</f>
        <v>64.576119935748707</v>
      </c>
      <c r="I70" s="95"/>
      <c r="L70" s="83"/>
      <c r="M70" s="83"/>
    </row>
    <row r="71" spans="1:15">
      <c r="A71" s="83" t="s">
        <v>106</v>
      </c>
      <c r="B71" s="82">
        <v>39.337000254647315</v>
      </c>
      <c r="C71" s="83" t="s">
        <v>291</v>
      </c>
      <c r="F71" s="93">
        <f t="shared" si="2"/>
        <v>39.337000254647315</v>
      </c>
      <c r="G71" s="83" t="s">
        <v>291</v>
      </c>
      <c r="H71" s="94">
        <f t="shared" si="3"/>
        <v>39.337000254647315</v>
      </c>
      <c r="I71" s="95"/>
      <c r="L71" s="83"/>
      <c r="M71" s="83"/>
    </row>
    <row r="72" spans="1:15">
      <c r="A72" s="83" t="s">
        <v>267</v>
      </c>
      <c r="B72" s="82">
        <v>64.576119935748707</v>
      </c>
      <c r="C72" s="83" t="s">
        <v>291</v>
      </c>
      <c r="E72" s="83"/>
      <c r="F72" s="93">
        <f t="shared" si="2"/>
        <v>64.576119935748707</v>
      </c>
      <c r="G72" s="83" t="s">
        <v>291</v>
      </c>
      <c r="H72" s="94">
        <f t="shared" si="3"/>
        <v>64.576119935748707</v>
      </c>
      <c r="I72" s="95"/>
      <c r="L72" s="83"/>
      <c r="M72" s="83"/>
    </row>
    <row r="73" spans="1:15">
      <c r="A73" s="83" t="s">
        <v>107</v>
      </c>
      <c r="B73" s="82">
        <v>30.938242495692393</v>
      </c>
      <c r="C73" s="83" t="s">
        <v>291</v>
      </c>
      <c r="F73" s="93">
        <f t="shared" si="2"/>
        <v>30.938242495692393</v>
      </c>
      <c r="G73" s="83" t="s">
        <v>291</v>
      </c>
      <c r="H73" s="94">
        <f t="shared" si="3"/>
        <v>30.938242495692393</v>
      </c>
      <c r="I73" s="95"/>
      <c r="L73" s="83"/>
      <c r="M73" s="83"/>
    </row>
    <row r="74" spans="1:15">
      <c r="A74" s="83" t="s">
        <v>108</v>
      </c>
      <c r="B74" s="82">
        <v>62.874573660468698</v>
      </c>
      <c r="C74" s="83" t="s">
        <v>291</v>
      </c>
      <c r="F74" s="93">
        <f t="shared" si="2"/>
        <v>62.874573660468698</v>
      </c>
      <c r="G74" s="83" t="s">
        <v>290</v>
      </c>
      <c r="H74" s="94">
        <f t="shared" si="3"/>
        <v>78.593217075585869</v>
      </c>
      <c r="I74" s="95"/>
      <c r="L74" s="83"/>
      <c r="M74" s="83"/>
    </row>
    <row r="75" spans="1:15">
      <c r="A75" s="83" t="s">
        <v>110</v>
      </c>
      <c r="B75" s="82">
        <v>68.47</v>
      </c>
      <c r="C75" s="83" t="s">
        <v>291</v>
      </c>
      <c r="D75" s="83" t="s">
        <v>292</v>
      </c>
      <c r="F75" s="93">
        <f t="shared" si="2"/>
        <v>68.47</v>
      </c>
      <c r="G75" s="83" t="s">
        <v>290</v>
      </c>
      <c r="H75" s="94">
        <f t="shared" si="3"/>
        <v>85.587500000000006</v>
      </c>
      <c r="I75" s="84">
        <v>41.536666666666669</v>
      </c>
      <c r="J75" s="83" t="s">
        <v>291</v>
      </c>
      <c r="K75" s="83" t="s">
        <v>110</v>
      </c>
      <c r="M75" s="82">
        <f>IF(L75="",I75,L75)</f>
        <v>41.536666666666669</v>
      </c>
      <c r="N75" s="96" t="s">
        <v>290</v>
      </c>
      <c r="O75" s="94">
        <f>IF(N75="Yes",M75*1.25,M75)</f>
        <v>51.920833333333334</v>
      </c>
    </row>
    <row r="76" spans="1:15">
      <c r="A76" s="83" t="s">
        <v>109</v>
      </c>
      <c r="B76" s="82">
        <v>55.24093411809379</v>
      </c>
      <c r="C76" s="83" t="s">
        <v>291</v>
      </c>
      <c r="F76" s="93">
        <f t="shared" si="2"/>
        <v>55.24093411809379</v>
      </c>
      <c r="G76" s="83" t="s">
        <v>290</v>
      </c>
      <c r="H76" s="94">
        <f t="shared" si="3"/>
        <v>69.051167647617234</v>
      </c>
      <c r="I76" s="95"/>
      <c r="L76" s="83"/>
      <c r="M76" s="83"/>
    </row>
    <row r="77" spans="1:15">
      <c r="A77" s="83" t="s">
        <v>111</v>
      </c>
      <c r="B77" s="82">
        <v>41.281891238199272</v>
      </c>
      <c r="C77" s="83" t="s">
        <v>290</v>
      </c>
      <c r="D77" s="83" t="s">
        <v>377</v>
      </c>
      <c r="E77" s="97">
        <v>107.53</v>
      </c>
      <c r="F77" s="93">
        <f t="shared" si="2"/>
        <v>107.53</v>
      </c>
      <c r="G77" s="83" t="s">
        <v>291</v>
      </c>
      <c r="H77" s="94">
        <f t="shared" si="3"/>
        <v>107.53</v>
      </c>
      <c r="O77" s="94"/>
    </row>
    <row r="78" spans="1:15">
      <c r="A78" s="83" t="s">
        <v>112</v>
      </c>
      <c r="B78" s="82">
        <v>60.807637906647798</v>
      </c>
      <c r="C78" s="83" t="s">
        <v>291</v>
      </c>
      <c r="E78" s="83"/>
      <c r="F78" s="93">
        <f t="shared" si="2"/>
        <v>60.807637906647798</v>
      </c>
      <c r="G78" s="83" t="s">
        <v>290</v>
      </c>
      <c r="H78" s="94">
        <f t="shared" si="3"/>
        <v>76.009547383309751</v>
      </c>
      <c r="I78" s="95"/>
      <c r="L78" s="83"/>
      <c r="M78" s="83"/>
    </row>
    <row r="79" spans="1:15">
      <c r="A79" s="83" t="s">
        <v>113</v>
      </c>
      <c r="B79" s="82">
        <v>94.051447869512103</v>
      </c>
      <c r="C79" s="83" t="s">
        <v>291</v>
      </c>
      <c r="E79" s="83"/>
      <c r="F79" s="93">
        <f t="shared" si="2"/>
        <v>94.051447869512103</v>
      </c>
      <c r="G79" s="83" t="s">
        <v>290</v>
      </c>
      <c r="H79" s="94">
        <f t="shared" si="3"/>
        <v>117.56430983689013</v>
      </c>
      <c r="I79" s="95"/>
      <c r="L79" s="83"/>
      <c r="M79" s="83"/>
    </row>
    <row r="80" spans="1:15">
      <c r="A80" s="83" t="s">
        <v>114</v>
      </c>
      <c r="B80" s="82">
        <v>64.965110378076631</v>
      </c>
      <c r="C80" s="83" t="s">
        <v>291</v>
      </c>
      <c r="E80" s="83"/>
      <c r="F80" s="93">
        <f t="shared" si="2"/>
        <v>64.965110378076631</v>
      </c>
      <c r="G80" s="83" t="s">
        <v>290</v>
      </c>
      <c r="H80" s="94">
        <f t="shared" si="3"/>
        <v>81.206387972595792</v>
      </c>
      <c r="I80" s="95"/>
      <c r="L80" s="83"/>
      <c r="M80" s="83"/>
    </row>
    <row r="81" spans="1:13">
      <c r="A81" s="83" t="s">
        <v>115</v>
      </c>
      <c r="B81" s="82">
        <v>44.045452050282705</v>
      </c>
      <c r="C81" s="83" t="s">
        <v>291</v>
      </c>
      <c r="E81" s="83"/>
      <c r="F81" s="93">
        <f t="shared" si="2"/>
        <v>44.045452050282705</v>
      </c>
      <c r="G81" s="83" t="s">
        <v>290</v>
      </c>
      <c r="H81" s="94">
        <f t="shared" si="3"/>
        <v>55.056815062853381</v>
      </c>
      <c r="I81" s="95"/>
      <c r="L81" s="83"/>
      <c r="M81" s="83"/>
    </row>
    <row r="82" spans="1:13">
      <c r="A82" s="83" t="s">
        <v>116</v>
      </c>
      <c r="B82" s="82">
        <v>49.380394383646504</v>
      </c>
      <c r="C82" s="83" t="s">
        <v>290</v>
      </c>
      <c r="D82" s="83" t="s">
        <v>375</v>
      </c>
      <c r="E82" s="83">
        <v>80.37</v>
      </c>
      <c r="F82" s="93">
        <f t="shared" si="2"/>
        <v>80.37</v>
      </c>
      <c r="G82" s="83" t="s">
        <v>291</v>
      </c>
      <c r="H82" s="94">
        <f t="shared" si="3"/>
        <v>80.37</v>
      </c>
      <c r="I82" s="95"/>
      <c r="L82" s="83"/>
      <c r="M82" s="83"/>
    </row>
    <row r="83" spans="1:13">
      <c r="A83" s="83" t="s">
        <v>117</v>
      </c>
      <c r="B83" s="82">
        <v>42.694046807543735</v>
      </c>
      <c r="C83" s="83" t="s">
        <v>291</v>
      </c>
      <c r="E83" s="83"/>
      <c r="F83" s="93">
        <f t="shared" si="2"/>
        <v>42.694046807543735</v>
      </c>
      <c r="G83" s="100" t="s">
        <v>290</v>
      </c>
      <c r="H83" s="94">
        <f t="shared" si="3"/>
        <v>53.367558509429671</v>
      </c>
      <c r="I83" s="95"/>
      <c r="L83" s="83"/>
      <c r="M83" s="83"/>
    </row>
    <row r="84" spans="1:13">
      <c r="A84" s="83" t="s">
        <v>118</v>
      </c>
      <c r="B84" s="82">
        <v>55.422487398415804</v>
      </c>
      <c r="C84" s="83" t="s">
        <v>291</v>
      </c>
      <c r="E84" s="83"/>
      <c r="F84" s="93">
        <f t="shared" si="2"/>
        <v>55.422487398415804</v>
      </c>
      <c r="G84" s="83" t="s">
        <v>290</v>
      </c>
      <c r="H84" s="94">
        <f t="shared" si="3"/>
        <v>69.27810924801976</v>
      </c>
      <c r="I84" s="95"/>
      <c r="L84" s="83"/>
      <c r="M84" s="83"/>
    </row>
    <row r="85" spans="1:13">
      <c r="A85" s="83" t="s">
        <v>119</v>
      </c>
      <c r="B85" s="82">
        <v>56.64259515852963</v>
      </c>
      <c r="C85" s="83" t="s">
        <v>291</v>
      </c>
      <c r="E85" s="83"/>
      <c r="F85" s="93">
        <f t="shared" si="2"/>
        <v>56.64259515852963</v>
      </c>
      <c r="G85" s="83" t="s">
        <v>290</v>
      </c>
      <c r="H85" s="94">
        <f t="shared" si="3"/>
        <v>70.803243948162034</v>
      </c>
      <c r="I85" s="95"/>
      <c r="L85" s="83"/>
      <c r="M85" s="83"/>
    </row>
    <row r="86" spans="1:13">
      <c r="A86" s="83" t="s">
        <v>120</v>
      </c>
      <c r="B86" s="82">
        <v>41.281891238199272</v>
      </c>
      <c r="C86" s="83" t="s">
        <v>291</v>
      </c>
      <c r="E86" s="83"/>
      <c r="F86" s="93">
        <f t="shared" si="2"/>
        <v>41.281891238199272</v>
      </c>
      <c r="G86" s="83" t="s">
        <v>290</v>
      </c>
      <c r="H86" s="94">
        <f t="shared" si="3"/>
        <v>51.602364047749091</v>
      </c>
      <c r="I86" s="95"/>
      <c r="L86" s="83"/>
      <c r="M86" s="83"/>
    </row>
    <row r="87" spans="1:13">
      <c r="A87" s="83" t="s">
        <v>121</v>
      </c>
      <c r="B87" s="82">
        <v>82.283453440723463</v>
      </c>
      <c r="C87" s="83" t="s">
        <v>291</v>
      </c>
      <c r="E87" s="83"/>
      <c r="F87" s="93">
        <f t="shared" si="2"/>
        <v>82.283453440723463</v>
      </c>
      <c r="G87" s="83" t="s">
        <v>290</v>
      </c>
      <c r="H87" s="94">
        <f t="shared" si="3"/>
        <v>102.85431680090433</v>
      </c>
      <c r="I87" s="95"/>
      <c r="L87" s="83"/>
      <c r="M87" s="83"/>
    </row>
    <row r="88" spans="1:13">
      <c r="A88" s="83" t="s">
        <v>122</v>
      </c>
      <c r="B88" s="82">
        <v>64.258475927303635</v>
      </c>
      <c r="C88" s="83" t="s">
        <v>291</v>
      </c>
      <c r="F88" s="93">
        <f t="shared" si="2"/>
        <v>64.258475927303635</v>
      </c>
      <c r="G88" s="83" t="s">
        <v>290</v>
      </c>
      <c r="H88" s="94">
        <f t="shared" si="3"/>
        <v>80.323094909129537</v>
      </c>
      <c r="I88" s="95"/>
      <c r="L88" s="83"/>
      <c r="M88" s="83"/>
    </row>
    <row r="89" spans="1:13">
      <c r="A89" s="83" t="s">
        <v>123</v>
      </c>
      <c r="B89" s="82">
        <v>73.847890594761978</v>
      </c>
      <c r="C89" s="83" t="s">
        <v>291</v>
      </c>
      <c r="F89" s="93">
        <f t="shared" si="2"/>
        <v>73.847890594761978</v>
      </c>
      <c r="G89" s="83" t="s">
        <v>290</v>
      </c>
      <c r="H89" s="94">
        <f t="shared" si="3"/>
        <v>92.309863243452469</v>
      </c>
      <c r="I89" s="95"/>
      <c r="L89" s="83"/>
      <c r="M89" s="83"/>
    </row>
    <row r="90" spans="1:13">
      <c r="A90" s="83" t="s">
        <v>124</v>
      </c>
      <c r="B90" s="82">
        <v>41.281891238199272</v>
      </c>
      <c r="C90" s="83" t="s">
        <v>291</v>
      </c>
      <c r="F90" s="93">
        <f t="shared" si="2"/>
        <v>41.281891238199272</v>
      </c>
      <c r="G90" s="83" t="s">
        <v>290</v>
      </c>
      <c r="H90" s="94">
        <f t="shared" si="3"/>
        <v>51.602364047749091</v>
      </c>
      <c r="I90" s="95"/>
      <c r="L90" s="83"/>
      <c r="M90" s="83"/>
    </row>
    <row r="91" spans="1:13">
      <c r="A91" s="83" t="s">
        <v>125</v>
      </c>
      <c r="B91" s="82">
        <v>90.698903616429391</v>
      </c>
      <c r="C91" s="83" t="s">
        <v>291</v>
      </c>
      <c r="D91" s="101"/>
      <c r="E91" s="83"/>
      <c r="F91" s="93">
        <f t="shared" si="2"/>
        <v>90.698903616429391</v>
      </c>
      <c r="G91" s="83" t="s">
        <v>290</v>
      </c>
      <c r="H91" s="94">
        <f t="shared" si="3"/>
        <v>113.37362952053674</v>
      </c>
      <c r="I91" s="102"/>
      <c r="J91" s="103"/>
      <c r="L91" s="83"/>
      <c r="M91" s="83"/>
    </row>
    <row r="92" spans="1:13">
      <c r="A92" s="83" t="s">
        <v>126</v>
      </c>
      <c r="B92" s="82">
        <v>41.281891238199272</v>
      </c>
      <c r="C92" s="83" t="s">
        <v>291</v>
      </c>
      <c r="E92" s="83"/>
      <c r="F92" s="93">
        <f t="shared" si="2"/>
        <v>41.281891238199272</v>
      </c>
      <c r="G92" s="100" t="s">
        <v>290</v>
      </c>
      <c r="H92" s="94">
        <f t="shared" si="3"/>
        <v>51.602364047749091</v>
      </c>
      <c r="I92" s="95"/>
      <c r="L92" s="83"/>
      <c r="M92" s="83"/>
    </row>
    <row r="93" spans="1:13">
      <c r="A93" s="83" t="s">
        <v>127</v>
      </c>
      <c r="B93" s="82">
        <v>25.536707056307911</v>
      </c>
      <c r="C93" s="83" t="s">
        <v>291</v>
      </c>
      <c r="D93" s="101"/>
      <c r="E93" s="83"/>
      <c r="F93" s="93">
        <f t="shared" si="2"/>
        <v>25.536707056307911</v>
      </c>
      <c r="G93" s="83" t="s">
        <v>290</v>
      </c>
      <c r="H93" s="94">
        <f t="shared" si="3"/>
        <v>31.920883820384887</v>
      </c>
      <c r="I93" s="95"/>
      <c r="L93" s="83"/>
      <c r="M93" s="83"/>
    </row>
    <row r="94" spans="1:13">
      <c r="A94" s="83" t="s">
        <v>128</v>
      </c>
      <c r="B94" s="82">
        <v>57.995892635399755</v>
      </c>
      <c r="C94" s="83" t="s">
        <v>291</v>
      </c>
      <c r="E94" s="83"/>
      <c r="F94" s="93">
        <f t="shared" si="2"/>
        <v>57.995892635399755</v>
      </c>
      <c r="G94" s="83" t="s">
        <v>290</v>
      </c>
      <c r="H94" s="94">
        <f t="shared" si="3"/>
        <v>72.494865794249691</v>
      </c>
      <c r="I94" s="95"/>
      <c r="L94" s="83"/>
      <c r="M94" s="83"/>
    </row>
    <row r="95" spans="1:13">
      <c r="A95" s="83" t="s">
        <v>268</v>
      </c>
      <c r="B95" s="82">
        <v>59.07332825590251</v>
      </c>
      <c r="C95" s="83" t="s">
        <v>290</v>
      </c>
      <c r="D95" s="83" t="s">
        <v>376</v>
      </c>
      <c r="E95" s="83">
        <v>126.59</v>
      </c>
      <c r="F95" s="93">
        <f t="shared" si="2"/>
        <v>126.59</v>
      </c>
      <c r="G95" s="83" t="s">
        <v>291</v>
      </c>
      <c r="H95" s="94">
        <f t="shared" si="3"/>
        <v>126.59</v>
      </c>
      <c r="I95" s="95"/>
      <c r="L95" s="83"/>
      <c r="M95" s="83"/>
    </row>
    <row r="96" spans="1:13">
      <c r="A96" s="83" t="s">
        <v>130</v>
      </c>
      <c r="B96" s="82">
        <v>59.53106012514737</v>
      </c>
      <c r="C96" s="83" t="s">
        <v>291</v>
      </c>
      <c r="E96" s="83"/>
      <c r="F96" s="93">
        <f t="shared" si="2"/>
        <v>59.53106012514737</v>
      </c>
      <c r="G96" s="83" t="s">
        <v>290</v>
      </c>
      <c r="H96" s="94">
        <f t="shared" si="3"/>
        <v>74.413825156434214</v>
      </c>
      <c r="I96" s="95"/>
      <c r="L96" s="83"/>
      <c r="M96" s="83"/>
    </row>
    <row r="97" spans="1:13">
      <c r="A97" s="83" t="s">
        <v>131</v>
      </c>
      <c r="B97" s="82">
        <v>43.160593991247481</v>
      </c>
      <c r="C97" s="83" t="s">
        <v>291</v>
      </c>
      <c r="E97" s="83"/>
      <c r="F97" s="93">
        <f t="shared" si="2"/>
        <v>43.160593991247481</v>
      </c>
      <c r="G97" s="100" t="s">
        <v>290</v>
      </c>
      <c r="H97" s="94">
        <f t="shared" si="3"/>
        <v>53.950742489059351</v>
      </c>
      <c r="I97" s="95"/>
      <c r="L97" s="83"/>
      <c r="M97" s="83"/>
    </row>
    <row r="98" spans="1:13">
      <c r="A98" s="83" t="s">
        <v>132</v>
      </c>
      <c r="B98" s="82">
        <v>69.218726666334817</v>
      </c>
      <c r="C98" s="83" t="s">
        <v>291</v>
      </c>
      <c r="E98" s="83"/>
      <c r="F98" s="93">
        <f t="shared" si="2"/>
        <v>69.218726666334817</v>
      </c>
      <c r="G98" s="83" t="s">
        <v>290</v>
      </c>
      <c r="H98" s="94">
        <f t="shared" si="3"/>
        <v>86.523408332918521</v>
      </c>
      <c r="I98" s="95"/>
      <c r="L98" s="83"/>
      <c r="M98" s="83"/>
    </row>
    <row r="99" spans="1:13">
      <c r="A99" s="83" t="s">
        <v>133</v>
      </c>
      <c r="B99" s="82">
        <v>53.758491551994425</v>
      </c>
      <c r="C99" s="83" t="s">
        <v>291</v>
      </c>
      <c r="E99" s="83"/>
      <c r="F99" s="93">
        <f t="shared" si="2"/>
        <v>53.758491551994425</v>
      </c>
      <c r="G99" s="83" t="s">
        <v>290</v>
      </c>
      <c r="H99" s="94">
        <f t="shared" si="3"/>
        <v>67.198114439993034</v>
      </c>
      <c r="I99" s="95"/>
      <c r="L99" s="83"/>
      <c r="M99" s="83"/>
    </row>
    <row r="100" spans="1:13">
      <c r="A100" s="83" t="s">
        <v>269</v>
      </c>
      <c r="B100" s="82">
        <v>53.049118243372483</v>
      </c>
      <c r="C100" s="83" t="s">
        <v>291</v>
      </c>
      <c r="E100" s="83"/>
      <c r="F100" s="93">
        <f t="shared" si="2"/>
        <v>53.049118243372483</v>
      </c>
      <c r="G100" s="83" t="s">
        <v>290</v>
      </c>
      <c r="H100" s="94">
        <f t="shared" si="3"/>
        <v>66.311397804215602</v>
      </c>
      <c r="I100" s="95"/>
      <c r="L100" s="83"/>
      <c r="M100" s="83"/>
    </row>
    <row r="101" spans="1:13">
      <c r="A101" s="83" t="s">
        <v>135</v>
      </c>
      <c r="B101" s="82">
        <v>54.285342895562529</v>
      </c>
      <c r="C101" s="83" t="s">
        <v>291</v>
      </c>
      <c r="E101" s="83"/>
      <c r="F101" s="93">
        <f t="shared" si="2"/>
        <v>54.285342895562529</v>
      </c>
      <c r="G101" s="83" t="s">
        <v>290</v>
      </c>
      <c r="H101" s="94">
        <f t="shared" si="3"/>
        <v>67.856678619453163</v>
      </c>
      <c r="I101" s="95"/>
      <c r="L101" s="83"/>
      <c r="M101" s="83"/>
    </row>
    <row r="102" spans="1:13">
      <c r="A102" s="83" t="s">
        <v>136</v>
      </c>
      <c r="B102" s="82">
        <v>63.04441295744369</v>
      </c>
      <c r="C102" s="83" t="s">
        <v>291</v>
      </c>
      <c r="E102" s="83"/>
      <c r="F102" s="93">
        <f t="shared" si="2"/>
        <v>63.04441295744369</v>
      </c>
      <c r="G102" s="83" t="s">
        <v>290</v>
      </c>
      <c r="H102" s="94">
        <f t="shared" si="3"/>
        <v>78.805516196804618</v>
      </c>
      <c r="I102" s="95"/>
      <c r="L102" s="83"/>
      <c r="M102" s="83"/>
    </row>
    <row r="103" spans="1:13">
      <c r="A103" s="83" t="s">
        <v>137</v>
      </c>
      <c r="B103" s="82">
        <v>61.483108472746899</v>
      </c>
      <c r="C103" s="83" t="s">
        <v>291</v>
      </c>
      <c r="E103" s="83"/>
      <c r="F103" s="93">
        <f t="shared" si="2"/>
        <v>61.483108472746899</v>
      </c>
      <c r="G103" s="83" t="s">
        <v>290</v>
      </c>
      <c r="H103" s="94">
        <f t="shared" si="3"/>
        <v>76.853885590933629</v>
      </c>
      <c r="I103" s="95"/>
      <c r="L103" s="83"/>
      <c r="M103" s="83"/>
    </row>
    <row r="104" spans="1:13">
      <c r="A104" s="83" t="s">
        <v>357</v>
      </c>
      <c r="B104" s="82">
        <v>41.281891238199272</v>
      </c>
      <c r="C104" s="83" t="s">
        <v>291</v>
      </c>
      <c r="E104" s="83"/>
      <c r="F104" s="93">
        <f t="shared" si="2"/>
        <v>41.281891238199272</v>
      </c>
      <c r="G104" s="83" t="s">
        <v>290</v>
      </c>
      <c r="H104" s="94">
        <f t="shared" si="3"/>
        <v>51.602364047749091</v>
      </c>
      <c r="I104" s="95"/>
      <c r="L104" s="83"/>
      <c r="M104" s="83"/>
    </row>
    <row r="105" spans="1:13">
      <c r="A105" s="83" t="s">
        <v>138</v>
      </c>
      <c r="B105" s="82">
        <v>79.932749104289726</v>
      </c>
      <c r="C105" s="83" t="s">
        <v>291</v>
      </c>
      <c r="E105" s="83"/>
      <c r="F105" s="93">
        <f t="shared" si="2"/>
        <v>79.932749104289726</v>
      </c>
      <c r="G105" s="83" t="s">
        <v>290</v>
      </c>
      <c r="H105" s="94">
        <f t="shared" si="3"/>
        <v>99.915936380362155</v>
      </c>
      <c r="I105" s="95"/>
      <c r="L105" s="83"/>
      <c r="M105" s="83"/>
    </row>
    <row r="106" spans="1:13">
      <c r="A106" s="83" t="s">
        <v>139</v>
      </c>
      <c r="B106" s="82">
        <v>48.723972237052855</v>
      </c>
      <c r="C106" s="83" t="s">
        <v>291</v>
      </c>
      <c r="E106" s="83"/>
      <c r="F106" s="93">
        <f t="shared" si="2"/>
        <v>48.723972237052855</v>
      </c>
      <c r="G106" s="83" t="s">
        <v>290</v>
      </c>
      <c r="H106" s="94">
        <f t="shared" si="3"/>
        <v>60.904965296316071</v>
      </c>
      <c r="I106" s="95"/>
      <c r="L106" s="83"/>
      <c r="M106" s="83"/>
    </row>
    <row r="107" spans="1:13">
      <c r="A107" s="83" t="s">
        <v>140</v>
      </c>
      <c r="B107" s="82">
        <v>52.314086366207803</v>
      </c>
      <c r="C107" s="83" t="s">
        <v>291</v>
      </c>
      <c r="E107" s="83"/>
      <c r="F107" s="93">
        <f t="shared" si="2"/>
        <v>52.314086366207803</v>
      </c>
      <c r="G107" s="83" t="s">
        <v>290</v>
      </c>
      <c r="H107" s="94">
        <f t="shared" si="3"/>
        <v>65.392607957759751</v>
      </c>
      <c r="I107" s="95"/>
      <c r="L107" s="83"/>
      <c r="M107" s="83"/>
    </row>
    <row r="108" spans="1:13">
      <c r="A108" s="83" t="s">
        <v>141</v>
      </c>
      <c r="B108" s="82">
        <v>48.689689958975052</v>
      </c>
      <c r="C108" s="83" t="s">
        <v>291</v>
      </c>
      <c r="E108" s="83"/>
      <c r="F108" s="93">
        <f t="shared" si="2"/>
        <v>48.689689958975052</v>
      </c>
      <c r="G108" s="83" t="s">
        <v>291</v>
      </c>
      <c r="H108" s="94">
        <f t="shared" si="3"/>
        <v>48.689689958975052</v>
      </c>
      <c r="I108" s="95"/>
      <c r="L108" s="83"/>
      <c r="M108" s="83"/>
    </row>
    <row r="109" spans="1:13">
      <c r="A109" s="83" t="s">
        <v>270</v>
      </c>
      <c r="B109" s="82">
        <v>65.921315036035153</v>
      </c>
      <c r="C109" s="83" t="s">
        <v>291</v>
      </c>
      <c r="E109" s="83"/>
      <c r="F109" s="93">
        <f t="shared" si="2"/>
        <v>65.921315036035153</v>
      </c>
      <c r="G109" s="83" t="s">
        <v>291</v>
      </c>
      <c r="H109" s="94">
        <f t="shared" si="3"/>
        <v>65.921315036035153</v>
      </c>
      <c r="I109" s="95"/>
      <c r="L109" s="83"/>
      <c r="M109" s="83"/>
    </row>
    <row r="110" spans="1:13">
      <c r="A110" s="83" t="s">
        <v>358</v>
      </c>
      <c r="B110" s="82">
        <v>65.921315036035153</v>
      </c>
      <c r="C110" s="83" t="s">
        <v>291</v>
      </c>
      <c r="E110" s="83"/>
      <c r="F110" s="93">
        <f t="shared" si="2"/>
        <v>65.921315036035153</v>
      </c>
      <c r="G110" s="83" t="s">
        <v>291</v>
      </c>
      <c r="H110" s="94">
        <f t="shared" si="3"/>
        <v>65.921315036035153</v>
      </c>
      <c r="I110" s="95"/>
      <c r="L110" s="83"/>
      <c r="M110" s="83"/>
    </row>
    <row r="111" spans="1:13">
      <c r="A111" s="83" t="s">
        <v>143</v>
      </c>
      <c r="B111" s="82">
        <v>73.745588407152042</v>
      </c>
      <c r="C111" s="83" t="s">
        <v>291</v>
      </c>
      <c r="E111" s="83"/>
      <c r="F111" s="93">
        <f t="shared" si="2"/>
        <v>73.745588407152042</v>
      </c>
      <c r="G111" s="83" t="s">
        <v>290</v>
      </c>
      <c r="H111" s="94">
        <f t="shared" si="3"/>
        <v>92.181985508940045</v>
      </c>
      <c r="I111" s="95"/>
      <c r="L111" s="83"/>
      <c r="M111" s="83"/>
    </row>
    <row r="112" spans="1:13">
      <c r="A112" s="83" t="s">
        <v>359</v>
      </c>
      <c r="B112" s="82">
        <v>65.921315036035153</v>
      </c>
      <c r="C112" s="83" t="s">
        <v>291</v>
      </c>
      <c r="E112" s="83"/>
      <c r="F112" s="93">
        <f t="shared" si="2"/>
        <v>65.921315036035153</v>
      </c>
      <c r="G112" s="83" t="s">
        <v>291</v>
      </c>
      <c r="H112" s="94">
        <f t="shared" si="3"/>
        <v>65.921315036035153</v>
      </c>
      <c r="I112" s="95"/>
      <c r="L112" s="83"/>
      <c r="M112" s="83"/>
    </row>
    <row r="113" spans="1:13">
      <c r="A113" s="83" t="s">
        <v>144</v>
      </c>
      <c r="B113" s="82">
        <v>65.921315036035153</v>
      </c>
      <c r="C113" s="83" t="s">
        <v>291</v>
      </c>
      <c r="E113" s="83"/>
      <c r="F113" s="93">
        <f t="shared" si="2"/>
        <v>65.921315036035153</v>
      </c>
      <c r="G113" s="83" t="s">
        <v>291</v>
      </c>
      <c r="H113" s="94">
        <f t="shared" si="3"/>
        <v>65.921315036035153</v>
      </c>
      <c r="I113" s="95"/>
      <c r="L113" s="83"/>
      <c r="M113" s="83"/>
    </row>
    <row r="114" spans="1:13">
      <c r="A114" s="83" t="s">
        <v>271</v>
      </c>
      <c r="B114" s="82">
        <v>65.921315036035153</v>
      </c>
      <c r="C114" s="83" t="s">
        <v>291</v>
      </c>
      <c r="E114" s="83"/>
      <c r="F114" s="93">
        <f t="shared" si="2"/>
        <v>65.921315036035153</v>
      </c>
      <c r="G114" s="83" t="s">
        <v>291</v>
      </c>
      <c r="H114" s="94">
        <f t="shared" si="3"/>
        <v>65.921315036035153</v>
      </c>
      <c r="I114" s="95"/>
      <c r="L114" s="83"/>
      <c r="M114" s="83"/>
    </row>
    <row r="115" spans="1:13">
      <c r="A115" s="83" t="s">
        <v>145</v>
      </c>
      <c r="B115" s="82">
        <v>44.155858006195722</v>
      </c>
      <c r="C115" s="83" t="s">
        <v>291</v>
      </c>
      <c r="E115" s="83"/>
      <c r="F115" s="93">
        <f t="shared" si="2"/>
        <v>44.155858006195722</v>
      </c>
      <c r="G115" s="83" t="s">
        <v>291</v>
      </c>
      <c r="H115" s="94">
        <f t="shared" si="3"/>
        <v>44.155858006195722</v>
      </c>
      <c r="I115" s="95"/>
      <c r="L115" s="83"/>
      <c r="M115" s="83"/>
    </row>
    <row r="116" spans="1:13">
      <c r="A116" s="83" t="s">
        <v>146</v>
      </c>
      <c r="B116" s="82">
        <v>41.577033124243421</v>
      </c>
      <c r="C116" s="83" t="s">
        <v>291</v>
      </c>
      <c r="E116" s="83"/>
      <c r="F116" s="93">
        <f t="shared" si="2"/>
        <v>41.577033124243421</v>
      </c>
      <c r="G116" s="83" t="s">
        <v>291</v>
      </c>
      <c r="H116" s="94">
        <f t="shared" si="3"/>
        <v>41.577033124243421</v>
      </c>
      <c r="I116" s="95"/>
      <c r="L116" s="83"/>
      <c r="M116" s="83"/>
    </row>
    <row r="117" spans="1:13">
      <c r="A117" s="83" t="s">
        <v>147</v>
      </c>
      <c r="B117" s="82">
        <v>40.048305126560415</v>
      </c>
      <c r="C117" s="83" t="s">
        <v>291</v>
      </c>
      <c r="E117" s="83"/>
      <c r="F117" s="93">
        <f t="shared" si="2"/>
        <v>40.048305126560415</v>
      </c>
      <c r="G117" s="83" t="s">
        <v>291</v>
      </c>
      <c r="H117" s="94">
        <f t="shared" si="3"/>
        <v>40.048305126560415</v>
      </c>
      <c r="I117" s="95"/>
      <c r="L117" s="83"/>
      <c r="M117" s="83"/>
    </row>
    <row r="118" spans="1:13">
      <c r="A118" s="83" t="s">
        <v>148</v>
      </c>
      <c r="B118" s="82">
        <v>44.309773548207836</v>
      </c>
      <c r="C118" s="83" t="s">
        <v>291</v>
      </c>
      <c r="D118" s="104"/>
      <c r="E118" s="104"/>
      <c r="F118" s="93">
        <f t="shared" si="2"/>
        <v>44.309773548207836</v>
      </c>
      <c r="G118" s="104" t="s">
        <v>291</v>
      </c>
      <c r="H118" s="94">
        <f t="shared" si="3"/>
        <v>44.309773548207836</v>
      </c>
      <c r="I118" s="95"/>
      <c r="L118" s="83"/>
      <c r="M118" s="83"/>
    </row>
    <row r="119" spans="1:13">
      <c r="A119" s="83" t="s">
        <v>149</v>
      </c>
      <c r="B119" s="82">
        <v>46.673229291716687</v>
      </c>
      <c r="C119" s="83" t="s">
        <v>291</v>
      </c>
      <c r="D119" s="104"/>
      <c r="E119" s="105"/>
      <c r="F119" s="93">
        <f t="shared" si="2"/>
        <v>46.673229291716687</v>
      </c>
      <c r="G119" s="104" t="s">
        <v>291</v>
      </c>
      <c r="H119" s="94">
        <f t="shared" si="3"/>
        <v>46.673229291716687</v>
      </c>
      <c r="I119" s="95"/>
      <c r="L119" s="83"/>
      <c r="M119" s="83"/>
    </row>
    <row r="120" spans="1:13">
      <c r="A120" s="83" t="s">
        <v>150</v>
      </c>
      <c r="B120" s="82">
        <v>59.456225813794674</v>
      </c>
      <c r="C120" s="83" t="s">
        <v>291</v>
      </c>
      <c r="F120" s="93">
        <f t="shared" si="2"/>
        <v>59.456225813794674</v>
      </c>
      <c r="G120" s="83" t="s">
        <v>291</v>
      </c>
      <c r="H120" s="94">
        <f t="shared" si="3"/>
        <v>59.456225813794674</v>
      </c>
      <c r="I120" s="95"/>
      <c r="L120" s="83"/>
      <c r="M120" s="83"/>
    </row>
    <row r="121" spans="1:13">
      <c r="A121" s="83" t="s">
        <v>151</v>
      </c>
      <c r="B121" s="82">
        <v>34.813088930259198</v>
      </c>
      <c r="C121" s="83" t="s">
        <v>291</v>
      </c>
      <c r="F121" s="93">
        <f t="shared" si="2"/>
        <v>34.813088930259198</v>
      </c>
      <c r="G121" s="83" t="s">
        <v>291</v>
      </c>
      <c r="H121" s="94">
        <f t="shared" si="3"/>
        <v>34.813088930259198</v>
      </c>
      <c r="I121" s="95"/>
      <c r="L121" s="83"/>
      <c r="M121" s="83"/>
    </row>
    <row r="122" spans="1:13">
      <c r="A122" s="83" t="s">
        <v>152</v>
      </c>
      <c r="B122" s="82">
        <v>60.413674315408421</v>
      </c>
      <c r="C122" s="83" t="s">
        <v>291</v>
      </c>
      <c r="F122" s="93">
        <f t="shared" si="2"/>
        <v>60.413674315408421</v>
      </c>
      <c r="G122" s="83" t="s">
        <v>291</v>
      </c>
      <c r="H122" s="94">
        <f t="shared" si="3"/>
        <v>60.413674315408421</v>
      </c>
      <c r="I122" s="95"/>
      <c r="L122" s="83"/>
      <c r="M122" s="83"/>
    </row>
    <row r="123" spans="1:13">
      <c r="A123" s="83" t="s">
        <v>153</v>
      </c>
      <c r="B123" s="82">
        <v>47.048547459996897</v>
      </c>
      <c r="C123" s="83" t="s">
        <v>291</v>
      </c>
      <c r="D123" s="98"/>
      <c r="E123" s="99"/>
      <c r="F123" s="93">
        <f t="shared" si="2"/>
        <v>47.048547459996897</v>
      </c>
      <c r="G123" s="98" t="s">
        <v>291</v>
      </c>
      <c r="H123" s="94">
        <f t="shared" si="3"/>
        <v>47.048547459996897</v>
      </c>
      <c r="I123" s="95"/>
      <c r="L123" s="83"/>
      <c r="M123" s="83"/>
    </row>
    <row r="124" spans="1:13">
      <c r="A124" s="83" t="s">
        <v>154</v>
      </c>
      <c r="B124" s="82">
        <v>50.432280595201945</v>
      </c>
      <c r="C124" s="83" t="s">
        <v>291</v>
      </c>
      <c r="E124" s="83"/>
      <c r="F124" s="93">
        <f t="shared" si="2"/>
        <v>50.432280595201945</v>
      </c>
      <c r="G124" s="83" t="s">
        <v>291</v>
      </c>
      <c r="H124" s="94">
        <f t="shared" si="3"/>
        <v>50.432280595201945</v>
      </c>
      <c r="I124" s="95"/>
      <c r="L124" s="83"/>
      <c r="M124" s="83"/>
    </row>
    <row r="125" spans="1:13">
      <c r="A125" s="83" t="s">
        <v>272</v>
      </c>
      <c r="B125" s="82">
        <v>51.040268456375834</v>
      </c>
      <c r="C125" s="83" t="s">
        <v>291</v>
      </c>
      <c r="E125" s="83"/>
      <c r="F125" s="93">
        <f t="shared" si="2"/>
        <v>51.040268456375834</v>
      </c>
      <c r="G125" s="83" t="s">
        <v>291</v>
      </c>
      <c r="H125" s="94">
        <f t="shared" si="3"/>
        <v>51.040268456375834</v>
      </c>
      <c r="I125" s="95"/>
      <c r="L125" s="83"/>
      <c r="M125" s="83"/>
    </row>
    <row r="126" spans="1:13">
      <c r="A126" s="83" t="s">
        <v>155</v>
      </c>
      <c r="B126" s="82">
        <v>56.183579237872834</v>
      </c>
      <c r="C126" s="83" t="s">
        <v>291</v>
      </c>
      <c r="E126" s="83"/>
      <c r="F126" s="93">
        <f t="shared" si="2"/>
        <v>56.183579237872834</v>
      </c>
      <c r="G126" s="83" t="s">
        <v>291</v>
      </c>
      <c r="H126" s="94">
        <f t="shared" si="3"/>
        <v>56.183579237872834</v>
      </c>
      <c r="I126" s="95"/>
      <c r="L126" s="83"/>
      <c r="M126" s="83"/>
    </row>
    <row r="127" spans="1:13">
      <c r="A127" s="83" t="s">
        <v>156</v>
      </c>
      <c r="B127" s="82">
        <v>55.92443361471296</v>
      </c>
      <c r="C127" s="83" t="s">
        <v>291</v>
      </c>
      <c r="E127" s="83"/>
      <c r="F127" s="93">
        <f t="shared" si="2"/>
        <v>55.92443361471296</v>
      </c>
      <c r="G127" s="83" t="s">
        <v>291</v>
      </c>
      <c r="H127" s="94">
        <f t="shared" si="3"/>
        <v>55.92443361471296</v>
      </c>
      <c r="I127" s="95"/>
      <c r="L127" s="83"/>
      <c r="M127" s="83"/>
    </row>
    <row r="128" spans="1:13">
      <c r="A128" s="83" t="s">
        <v>157</v>
      </c>
      <c r="B128" s="82">
        <v>50.44005392198163</v>
      </c>
      <c r="C128" s="83" t="s">
        <v>291</v>
      </c>
      <c r="E128" s="83"/>
      <c r="F128" s="93">
        <f t="shared" si="2"/>
        <v>50.44005392198163</v>
      </c>
      <c r="G128" s="83" t="s">
        <v>291</v>
      </c>
      <c r="H128" s="94">
        <f t="shared" si="3"/>
        <v>50.44005392198163</v>
      </c>
      <c r="I128" s="95"/>
      <c r="L128" s="83"/>
      <c r="M128" s="83"/>
    </row>
    <row r="129" spans="1:13">
      <c r="A129" s="83" t="s">
        <v>360</v>
      </c>
      <c r="B129" s="82">
        <v>51.096636511250288</v>
      </c>
      <c r="C129" s="83" t="s">
        <v>291</v>
      </c>
      <c r="E129" s="83"/>
      <c r="F129" s="93">
        <f t="shared" si="2"/>
        <v>51.096636511250288</v>
      </c>
      <c r="G129" s="83" t="s">
        <v>291</v>
      </c>
      <c r="H129" s="94">
        <f t="shared" si="3"/>
        <v>51.096636511250288</v>
      </c>
      <c r="I129" s="95"/>
      <c r="L129" s="83"/>
      <c r="M129" s="83"/>
    </row>
    <row r="130" spans="1:13">
      <c r="A130" s="83" t="s">
        <v>361</v>
      </c>
      <c r="B130" s="82">
        <v>51.096636511250288</v>
      </c>
      <c r="C130" s="83" t="s">
        <v>291</v>
      </c>
      <c r="E130" s="83"/>
      <c r="F130" s="93">
        <f t="shared" si="2"/>
        <v>51.096636511250288</v>
      </c>
      <c r="G130" s="83" t="s">
        <v>291</v>
      </c>
      <c r="H130" s="94">
        <f t="shared" si="3"/>
        <v>51.096636511250288</v>
      </c>
      <c r="I130" s="95"/>
      <c r="L130" s="83"/>
      <c r="M130" s="83"/>
    </row>
    <row r="131" spans="1:13">
      <c r="A131" s="83" t="s">
        <v>158</v>
      </c>
      <c r="B131" s="82">
        <v>51.096636511250288</v>
      </c>
      <c r="C131" s="83" t="s">
        <v>291</v>
      </c>
      <c r="E131" s="83"/>
      <c r="F131" s="93">
        <f t="shared" si="2"/>
        <v>51.096636511250288</v>
      </c>
      <c r="G131" s="83" t="s">
        <v>291</v>
      </c>
      <c r="H131" s="94">
        <f t="shared" si="3"/>
        <v>51.096636511250288</v>
      </c>
      <c r="I131" s="95"/>
      <c r="L131" s="83"/>
      <c r="M131" s="83"/>
    </row>
    <row r="132" spans="1:13">
      <c r="A132" s="83" t="s">
        <v>159</v>
      </c>
      <c r="B132" s="82">
        <v>59.07332825590251</v>
      </c>
      <c r="C132" s="83" t="s">
        <v>291</v>
      </c>
      <c r="E132" s="83"/>
      <c r="F132" s="93">
        <f t="shared" si="2"/>
        <v>59.07332825590251</v>
      </c>
      <c r="G132" s="83" t="s">
        <v>291</v>
      </c>
      <c r="H132" s="94">
        <f t="shared" si="3"/>
        <v>59.07332825590251</v>
      </c>
      <c r="I132" s="95"/>
      <c r="L132" s="83"/>
      <c r="M132" s="83"/>
    </row>
    <row r="133" spans="1:13">
      <c r="A133" s="83" t="s">
        <v>160</v>
      </c>
      <c r="B133" s="82">
        <v>49.382601242768374</v>
      </c>
      <c r="C133" s="83" t="s">
        <v>291</v>
      </c>
      <c r="E133" s="83"/>
      <c r="F133" s="93">
        <f t="shared" si="2"/>
        <v>49.382601242768374</v>
      </c>
      <c r="G133" s="83" t="s">
        <v>291</v>
      </c>
      <c r="H133" s="94">
        <f t="shared" si="3"/>
        <v>49.382601242768374</v>
      </c>
      <c r="I133" s="95"/>
      <c r="L133" s="83"/>
      <c r="M133" s="83"/>
    </row>
    <row r="134" spans="1:13">
      <c r="A134" s="83" t="s">
        <v>161</v>
      </c>
      <c r="B134" s="82">
        <v>52.950686106346481</v>
      </c>
      <c r="C134" s="83" t="s">
        <v>291</v>
      </c>
      <c r="E134" s="83"/>
      <c r="F134" s="93">
        <f t="shared" si="2"/>
        <v>52.950686106346481</v>
      </c>
      <c r="G134" s="83" t="s">
        <v>291</v>
      </c>
      <c r="H134" s="94">
        <f t="shared" si="3"/>
        <v>52.950686106346481</v>
      </c>
      <c r="I134" s="95"/>
      <c r="L134" s="83"/>
      <c r="M134" s="83"/>
    </row>
    <row r="135" spans="1:13">
      <c r="A135" s="83" t="s">
        <v>162</v>
      </c>
      <c r="B135" s="82">
        <v>53.049118243372483</v>
      </c>
      <c r="C135" s="83" t="s">
        <v>291</v>
      </c>
      <c r="E135" s="83"/>
      <c r="F135" s="93">
        <f t="shared" ref="F135:F151" si="4">IF(E135="",B135,E135)</f>
        <v>53.049118243372483</v>
      </c>
      <c r="G135" s="83" t="s">
        <v>291</v>
      </c>
      <c r="H135" s="94">
        <f t="shared" ref="H135:H151" si="5">IF(G135="Yes",F135*1.25,F135)</f>
        <v>53.049118243372483</v>
      </c>
    </row>
    <row r="136" spans="1:13">
      <c r="A136" s="83" t="s">
        <v>163</v>
      </c>
      <c r="B136" s="82">
        <v>53.049118243372483</v>
      </c>
      <c r="C136" s="83" t="s">
        <v>291</v>
      </c>
      <c r="E136" s="83"/>
      <c r="F136" s="93">
        <f t="shared" si="4"/>
        <v>53.049118243372483</v>
      </c>
      <c r="G136" s="83" t="s">
        <v>291</v>
      </c>
      <c r="H136" s="94">
        <f t="shared" si="5"/>
        <v>53.049118243372483</v>
      </c>
    </row>
    <row r="137" spans="1:13">
      <c r="A137" s="83" t="s">
        <v>164</v>
      </c>
      <c r="B137" s="82">
        <v>56.241195071420783</v>
      </c>
      <c r="C137" s="83" t="s">
        <v>291</v>
      </c>
      <c r="F137" s="93">
        <f t="shared" si="4"/>
        <v>56.241195071420783</v>
      </c>
      <c r="G137" s="83" t="s">
        <v>291</v>
      </c>
      <c r="H137" s="94">
        <f t="shared" si="5"/>
        <v>56.241195071420783</v>
      </c>
    </row>
    <row r="138" spans="1:13">
      <c r="A138" s="83" t="s">
        <v>165</v>
      </c>
      <c r="B138" s="82">
        <v>63.345473559769019</v>
      </c>
      <c r="C138" s="83" t="s">
        <v>291</v>
      </c>
      <c r="F138" s="93">
        <f t="shared" si="4"/>
        <v>63.345473559769019</v>
      </c>
      <c r="G138" s="83" t="s">
        <v>291</v>
      </c>
      <c r="H138" s="94">
        <f t="shared" si="5"/>
        <v>63.345473559769019</v>
      </c>
    </row>
    <row r="139" spans="1:13">
      <c r="A139" s="83" t="s">
        <v>362</v>
      </c>
      <c r="B139" s="82">
        <v>63.345473559769019</v>
      </c>
      <c r="C139" s="83" t="s">
        <v>291</v>
      </c>
      <c r="F139" s="93">
        <f t="shared" si="4"/>
        <v>63.345473559769019</v>
      </c>
      <c r="G139" s="83" t="s">
        <v>291</v>
      </c>
      <c r="H139" s="94">
        <f t="shared" si="5"/>
        <v>63.345473559769019</v>
      </c>
    </row>
    <row r="140" spans="1:13">
      <c r="A140" s="83" t="s">
        <v>363</v>
      </c>
      <c r="B140" s="82">
        <v>63.345473559769019</v>
      </c>
      <c r="C140" s="83" t="s">
        <v>291</v>
      </c>
      <c r="F140" s="93">
        <f t="shared" si="4"/>
        <v>63.345473559769019</v>
      </c>
      <c r="G140" s="83" t="s">
        <v>291</v>
      </c>
      <c r="H140" s="94">
        <f t="shared" si="5"/>
        <v>63.345473559769019</v>
      </c>
    </row>
    <row r="141" spans="1:13">
      <c r="A141" s="83" t="s">
        <v>166</v>
      </c>
      <c r="B141" s="82">
        <v>51.096636511250288</v>
      </c>
      <c r="C141" s="83" t="s">
        <v>291</v>
      </c>
      <c r="F141" s="93">
        <f t="shared" si="4"/>
        <v>51.096636511250288</v>
      </c>
      <c r="G141" s="83" t="s">
        <v>291</v>
      </c>
      <c r="H141" s="94">
        <f t="shared" si="5"/>
        <v>51.096636511250288</v>
      </c>
    </row>
    <row r="142" spans="1:13">
      <c r="A142" s="83" t="s">
        <v>167</v>
      </c>
      <c r="B142" s="82">
        <v>46.806976056754358</v>
      </c>
      <c r="C142" s="83" t="s">
        <v>291</v>
      </c>
      <c r="F142" s="93">
        <f t="shared" si="4"/>
        <v>46.806976056754358</v>
      </c>
      <c r="G142" s="83" t="s">
        <v>291</v>
      </c>
      <c r="H142" s="94">
        <f t="shared" si="5"/>
        <v>46.806976056754358</v>
      </c>
    </row>
    <row r="143" spans="1:13">
      <c r="A143" s="83" t="s">
        <v>168</v>
      </c>
      <c r="B143" s="82">
        <v>51.381504448638445</v>
      </c>
      <c r="C143" s="83" t="s">
        <v>291</v>
      </c>
      <c r="F143" s="93">
        <f t="shared" si="4"/>
        <v>51.381504448638445</v>
      </c>
      <c r="G143" s="83" t="s">
        <v>291</v>
      </c>
      <c r="H143" s="94">
        <f t="shared" si="5"/>
        <v>51.381504448638445</v>
      </c>
    </row>
    <row r="144" spans="1:13">
      <c r="A144" s="83" t="s">
        <v>169</v>
      </c>
      <c r="B144" s="82">
        <v>47.424363781992945</v>
      </c>
      <c r="C144" s="83" t="s">
        <v>291</v>
      </c>
      <c r="F144" s="93">
        <f t="shared" si="4"/>
        <v>47.424363781992945</v>
      </c>
      <c r="G144" s="83" t="s">
        <v>291</v>
      </c>
      <c r="H144" s="94">
        <f t="shared" si="5"/>
        <v>47.424363781992945</v>
      </c>
    </row>
    <row r="145" spans="1:8">
      <c r="A145" s="83" t="s">
        <v>364</v>
      </c>
      <c r="B145" s="82">
        <v>43.739789390807992</v>
      </c>
      <c r="C145" s="83" t="s">
        <v>291</v>
      </c>
      <c r="F145" s="93">
        <f t="shared" si="4"/>
        <v>43.739789390807992</v>
      </c>
      <c r="G145" s="83" t="s">
        <v>291</v>
      </c>
      <c r="H145" s="94">
        <f t="shared" si="5"/>
        <v>43.739789390807992</v>
      </c>
    </row>
    <row r="146" spans="1:8">
      <c r="A146" s="83" t="s">
        <v>170</v>
      </c>
      <c r="B146" s="82">
        <v>45.234653465346533</v>
      </c>
      <c r="C146" s="83" t="s">
        <v>291</v>
      </c>
      <c r="F146" s="93">
        <f t="shared" si="4"/>
        <v>45.234653465346533</v>
      </c>
      <c r="G146" s="83" t="s">
        <v>291</v>
      </c>
      <c r="H146" s="94">
        <f t="shared" si="5"/>
        <v>45.234653465346533</v>
      </c>
    </row>
    <row r="147" spans="1:8">
      <c r="A147" s="212" t="s">
        <v>370</v>
      </c>
      <c r="B147" s="82">
        <v>74.22</v>
      </c>
      <c r="C147" s="83" t="s">
        <v>290</v>
      </c>
      <c r="D147" s="83" t="s">
        <v>368</v>
      </c>
      <c r="F147" s="82">
        <f t="shared" si="4"/>
        <v>74.22</v>
      </c>
      <c r="G147" s="83" t="s">
        <v>291</v>
      </c>
      <c r="H147" s="94">
        <f t="shared" si="5"/>
        <v>74.22</v>
      </c>
    </row>
    <row r="148" spans="1:8">
      <c r="A148" s="212" t="s">
        <v>371</v>
      </c>
      <c r="B148" s="82">
        <v>48.73</v>
      </c>
      <c r="C148" s="83" t="s">
        <v>290</v>
      </c>
      <c r="D148" s="83" t="s">
        <v>369</v>
      </c>
      <c r="F148" s="82">
        <f t="shared" si="4"/>
        <v>48.73</v>
      </c>
      <c r="G148" s="83" t="s">
        <v>291</v>
      </c>
      <c r="H148" s="94">
        <f t="shared" si="5"/>
        <v>48.73</v>
      </c>
    </row>
    <row r="149" spans="1:8">
      <c r="A149" s="83" t="s">
        <v>372</v>
      </c>
      <c r="B149" s="82">
        <v>99.12</v>
      </c>
      <c r="C149" s="83" t="s">
        <v>290</v>
      </c>
      <c r="D149" s="83" t="s">
        <v>368</v>
      </c>
      <c r="F149" s="82">
        <f t="shared" si="4"/>
        <v>99.12</v>
      </c>
      <c r="G149" s="83" t="s">
        <v>291</v>
      </c>
      <c r="H149" s="94">
        <f t="shared" si="5"/>
        <v>99.12</v>
      </c>
    </row>
    <row r="150" spans="1:8">
      <c r="A150" s="212" t="s">
        <v>373</v>
      </c>
      <c r="B150" s="82">
        <v>50.96</v>
      </c>
      <c r="C150" s="83" t="s">
        <v>290</v>
      </c>
      <c r="D150" s="83" t="s">
        <v>368</v>
      </c>
      <c r="F150" s="82">
        <f t="shared" si="4"/>
        <v>50.96</v>
      </c>
      <c r="G150" s="83" t="s">
        <v>291</v>
      </c>
      <c r="H150" s="94">
        <f t="shared" si="5"/>
        <v>50.96</v>
      </c>
    </row>
    <row r="151" spans="1:8">
      <c r="A151" s="83" t="s">
        <v>374</v>
      </c>
      <c r="B151" s="82">
        <v>85.59</v>
      </c>
      <c r="C151" s="83" t="s">
        <v>290</v>
      </c>
      <c r="D151" s="83" t="s">
        <v>368</v>
      </c>
      <c r="F151" s="82">
        <f t="shared" si="4"/>
        <v>85.59</v>
      </c>
      <c r="G151" s="83" t="s">
        <v>291</v>
      </c>
      <c r="H151" s="94">
        <f t="shared" si="5"/>
        <v>85.59</v>
      </c>
    </row>
  </sheetData>
  <autoFilter ref="A4:O151"/>
  <mergeCells count="2">
    <mergeCell ref="B3:G3"/>
    <mergeCell ref="I3:N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8"/>
  <sheetViews>
    <sheetView workbookViewId="0">
      <selection activeCell="M12" sqref="M12"/>
    </sheetView>
  </sheetViews>
  <sheetFormatPr defaultRowHeight="12.75"/>
  <cols>
    <col min="1" max="1" width="19.5703125" bestFit="1" customWidth="1"/>
    <col min="13" max="13" width="13.28515625" bestFit="1" customWidth="1"/>
    <col min="14" max="14" width="14.28515625" bestFit="1" customWidth="1"/>
    <col min="17" max="17" width="15.5703125" customWidth="1"/>
    <col min="21" max="21" width="10.42578125" bestFit="1" customWidth="1"/>
  </cols>
  <sheetData>
    <row r="1" spans="1:55" ht="13.5" thickBot="1">
      <c r="A1" s="5" t="s">
        <v>6</v>
      </c>
      <c r="M1" s="300" t="s">
        <v>381</v>
      </c>
      <c r="N1" s="301"/>
      <c r="O1" s="301"/>
      <c r="P1" s="301"/>
      <c r="Q1" s="302"/>
      <c r="R1" s="302"/>
      <c r="S1" s="302"/>
      <c r="T1" s="301"/>
      <c r="U1" s="301"/>
      <c r="V1" s="301"/>
      <c r="W1" s="301"/>
      <c r="X1" s="301"/>
      <c r="Y1" s="301"/>
      <c r="Z1" s="301"/>
      <c r="AA1" s="303"/>
    </row>
    <row r="2" spans="1:55" ht="13.5" thickBot="1">
      <c r="A2" s="6" t="s">
        <v>7</v>
      </c>
      <c r="M2" s="306" t="s">
        <v>378</v>
      </c>
      <c r="N2" s="292"/>
      <c r="O2" s="293"/>
      <c r="Q2" s="299" t="s">
        <v>260</v>
      </c>
      <c r="R2" s="287"/>
      <c r="S2" s="288"/>
      <c r="U2" s="291" t="s">
        <v>196</v>
      </c>
      <c r="V2" s="292"/>
      <c r="W2" s="293"/>
      <c r="Y2" s="291" t="s">
        <v>209</v>
      </c>
      <c r="Z2" s="292"/>
      <c r="AA2" s="293"/>
      <c r="AC2" s="299" t="s">
        <v>301</v>
      </c>
      <c r="AD2" s="287"/>
      <c r="AE2" s="288"/>
      <c r="AG2" s="299" t="s">
        <v>302</v>
      </c>
      <c r="AH2" s="287"/>
      <c r="AI2" s="288"/>
      <c r="AK2" s="299" t="s">
        <v>280</v>
      </c>
      <c r="AL2" s="287"/>
      <c r="AM2" s="288"/>
      <c r="AO2" s="286" t="s">
        <v>279</v>
      </c>
      <c r="AP2" s="287"/>
      <c r="AQ2" s="288"/>
      <c r="AS2" s="286" t="s">
        <v>308</v>
      </c>
      <c r="AT2" s="287"/>
      <c r="AU2" s="288"/>
      <c r="AW2" s="286" t="s">
        <v>312</v>
      </c>
      <c r="AX2" s="287"/>
      <c r="AY2" s="288"/>
      <c r="BA2" s="286" t="s">
        <v>341</v>
      </c>
      <c r="BB2" s="287"/>
      <c r="BC2" s="288"/>
    </row>
    <row r="3" spans="1:55" ht="15">
      <c r="A3" s="6" t="s">
        <v>2</v>
      </c>
      <c r="G3" s="13" t="s">
        <v>189</v>
      </c>
      <c r="H3" s="38" t="s">
        <v>176</v>
      </c>
      <c r="K3" t="s">
        <v>193</v>
      </c>
      <c r="M3" s="50">
        <f>Proforma!F17</f>
        <v>0</v>
      </c>
      <c r="N3" s="307" t="s">
        <v>207</v>
      </c>
      <c r="O3" s="308"/>
      <c r="Q3" s="106">
        <f>Proforma!I12</f>
        <v>0</v>
      </c>
      <c r="R3" s="289" t="s">
        <v>207</v>
      </c>
      <c r="S3" s="290"/>
      <c r="U3" s="50">
        <f>Proforma!F16</f>
        <v>0</v>
      </c>
      <c r="V3" s="307" t="s">
        <v>207</v>
      </c>
      <c r="W3" s="308"/>
      <c r="Y3" s="50">
        <f>Proforma!C17</f>
        <v>0</v>
      </c>
      <c r="Z3" s="307" t="s">
        <v>207</v>
      </c>
      <c r="AA3" s="308"/>
      <c r="AC3" s="106" t="e">
        <f>Proforma!C13+Proforma!#REF!</f>
        <v>#REF!</v>
      </c>
      <c r="AD3" s="289" t="s">
        <v>207</v>
      </c>
      <c r="AE3" s="290"/>
      <c r="AG3" s="106">
        <f>Proforma!C14</f>
        <v>0</v>
      </c>
      <c r="AH3" s="289" t="s">
        <v>207</v>
      </c>
      <c r="AI3" s="290"/>
      <c r="AK3" s="106">
        <f>Proforma!C15</f>
        <v>0</v>
      </c>
      <c r="AL3" s="289" t="s">
        <v>207</v>
      </c>
      <c r="AM3" s="290"/>
      <c r="AO3" s="106">
        <f>Proforma!C19</f>
        <v>0</v>
      </c>
      <c r="AP3" s="289" t="s">
        <v>207</v>
      </c>
      <c r="AQ3" s="290"/>
      <c r="AS3" s="106">
        <f>Proforma!C16</f>
        <v>0</v>
      </c>
      <c r="AT3" s="289" t="s">
        <v>207</v>
      </c>
      <c r="AU3" s="290"/>
      <c r="AW3" s="106">
        <f>SUM(Proforma!F20:F21)</f>
        <v>0</v>
      </c>
      <c r="AX3" s="289" t="s">
        <v>207</v>
      </c>
      <c r="AY3" s="290"/>
      <c r="BA3" s="106">
        <f>SUM(Proforma!F23:F24)</f>
        <v>0</v>
      </c>
      <c r="BB3" s="289" t="s">
        <v>207</v>
      </c>
      <c r="BC3" s="290"/>
    </row>
    <row r="4" spans="1:55">
      <c r="A4" s="6" t="s">
        <v>3</v>
      </c>
      <c r="G4" s="41">
        <v>4112</v>
      </c>
      <c r="H4" s="39" t="s">
        <v>53</v>
      </c>
      <c r="K4" t="s">
        <v>194</v>
      </c>
      <c r="M4" s="46">
        <v>44743</v>
      </c>
      <c r="N4" s="309" t="s">
        <v>215</v>
      </c>
      <c r="O4" s="290"/>
      <c r="Q4" s="46">
        <v>44743</v>
      </c>
      <c r="R4" s="289" t="s">
        <v>215</v>
      </c>
      <c r="S4" s="290"/>
      <c r="U4" s="46">
        <v>44743</v>
      </c>
      <c r="V4" s="309" t="s">
        <v>215</v>
      </c>
      <c r="W4" s="290"/>
      <c r="Y4" s="46">
        <v>44743</v>
      </c>
      <c r="Z4" s="309" t="s">
        <v>215</v>
      </c>
      <c r="AA4" s="290"/>
      <c r="AC4" s="46">
        <v>44743</v>
      </c>
      <c r="AD4" s="289" t="s">
        <v>215</v>
      </c>
      <c r="AE4" s="290"/>
      <c r="AG4" s="46">
        <v>44743</v>
      </c>
      <c r="AH4" s="289" t="s">
        <v>215</v>
      </c>
      <c r="AI4" s="290"/>
      <c r="AK4" s="46">
        <v>44743</v>
      </c>
      <c r="AL4" s="289" t="s">
        <v>215</v>
      </c>
      <c r="AM4" s="290"/>
      <c r="AO4" s="46">
        <v>44743</v>
      </c>
      <c r="AP4" s="289" t="s">
        <v>215</v>
      </c>
      <c r="AQ4" s="290"/>
      <c r="AS4" s="46">
        <v>44743</v>
      </c>
      <c r="AT4" s="289" t="s">
        <v>215</v>
      </c>
      <c r="AU4" s="290"/>
      <c r="AW4" s="46">
        <v>44743</v>
      </c>
      <c r="AX4" s="289" t="s">
        <v>215</v>
      </c>
      <c r="AY4" s="290"/>
      <c r="BA4" s="46">
        <v>44743</v>
      </c>
      <c r="BB4" s="289" t="s">
        <v>215</v>
      </c>
      <c r="BC4" s="290"/>
    </row>
    <row r="5" spans="1:55">
      <c r="A5" s="6" t="s">
        <v>14</v>
      </c>
      <c r="B5" s="5" t="s">
        <v>16</v>
      </c>
      <c r="G5" s="41">
        <v>4114</v>
      </c>
      <c r="H5" s="39" t="s">
        <v>178</v>
      </c>
      <c r="K5" t="s">
        <v>195</v>
      </c>
      <c r="M5" s="46">
        <v>45107</v>
      </c>
      <c r="N5" s="309" t="s">
        <v>208</v>
      </c>
      <c r="O5" s="290"/>
      <c r="Q5" s="46">
        <v>45107</v>
      </c>
      <c r="R5" s="289" t="s">
        <v>208</v>
      </c>
      <c r="S5" s="290"/>
      <c r="U5" s="46">
        <v>45107</v>
      </c>
      <c r="V5" s="309" t="s">
        <v>208</v>
      </c>
      <c r="W5" s="290"/>
      <c r="Y5" s="46">
        <v>45107</v>
      </c>
      <c r="Z5" s="309" t="s">
        <v>208</v>
      </c>
      <c r="AA5" s="290"/>
      <c r="AC5" s="46">
        <v>45107</v>
      </c>
      <c r="AD5" s="289" t="s">
        <v>208</v>
      </c>
      <c r="AE5" s="290"/>
      <c r="AG5" s="46">
        <v>45107</v>
      </c>
      <c r="AH5" s="289" t="s">
        <v>208</v>
      </c>
      <c r="AI5" s="290"/>
      <c r="AK5" s="46">
        <v>45107</v>
      </c>
      <c r="AL5" s="289" t="s">
        <v>208</v>
      </c>
      <c r="AM5" s="290"/>
      <c r="AO5" s="46">
        <v>45107</v>
      </c>
      <c r="AP5" s="289" t="s">
        <v>208</v>
      </c>
      <c r="AQ5" s="290"/>
      <c r="AS5" s="46">
        <v>45107</v>
      </c>
      <c r="AT5" s="289" t="s">
        <v>208</v>
      </c>
      <c r="AU5" s="290"/>
      <c r="AW5" s="46">
        <v>45107</v>
      </c>
      <c r="AX5" s="289" t="s">
        <v>208</v>
      </c>
      <c r="AY5" s="290"/>
      <c r="BA5" s="46">
        <v>45107</v>
      </c>
      <c r="BB5" s="289" t="s">
        <v>208</v>
      </c>
      <c r="BC5" s="290"/>
    </row>
    <row r="6" spans="1:55" ht="13.5" thickBot="1">
      <c r="A6" s="6" t="s">
        <v>15</v>
      </c>
      <c r="B6" s="5" t="s">
        <v>17</v>
      </c>
      <c r="G6" s="41">
        <v>4116</v>
      </c>
      <c r="H6" s="39" t="s">
        <v>177</v>
      </c>
      <c r="M6" s="49">
        <f>IF(Proforma!C12=Lists!M4,1*Lists!M3,((M5-Proforma!C12)/365)*M3)</f>
        <v>0</v>
      </c>
      <c r="N6" s="47" t="s">
        <v>214</v>
      </c>
      <c r="O6" s="48"/>
      <c r="Q6" s="49">
        <f>IF(Proforma!C12=Lists!Q4,1*Lists!Q3,((Q5-Proforma!C12)/365)*Q3)</f>
        <v>0</v>
      </c>
      <c r="R6" s="304" t="s">
        <v>214</v>
      </c>
      <c r="S6" s="305"/>
      <c r="U6" s="51">
        <f>IF(Proforma!C12=Lists!U4,1*Lists!U3,((U5-Proforma!C12)/365)*U3)</f>
        <v>0</v>
      </c>
      <c r="V6" s="304" t="s">
        <v>214</v>
      </c>
      <c r="W6" s="305"/>
      <c r="Y6" s="51">
        <f>IF(Proforma!C12=Lists!Y4,1*Lists!Y3,((Y5-Proforma!C12)/365)*Y3)</f>
        <v>0</v>
      </c>
      <c r="Z6" s="304" t="s">
        <v>214</v>
      </c>
      <c r="AA6" s="305"/>
      <c r="AC6" s="106" t="e">
        <f>IF(Proforma!C12=Lists!AC4,1*Lists!AC3,((AC5-Proforma!C12)/365)*AC3)</f>
        <v>#REF!</v>
      </c>
      <c r="AD6" s="289" t="s">
        <v>214</v>
      </c>
      <c r="AE6" s="290"/>
      <c r="AG6" s="106">
        <f>IF(Proforma!C12=Lists!AG4,1*Lists!AG3,((AG5-Proforma!C12)/365)*AG3)</f>
        <v>0</v>
      </c>
      <c r="AH6" s="289" t="s">
        <v>214</v>
      </c>
      <c r="AI6" s="290"/>
      <c r="AK6" s="106">
        <f>IF(Proforma!C12=Lists!AK4,1*Lists!AK3,((AK5-Proforma!C12)/365)*AK3)</f>
        <v>0</v>
      </c>
      <c r="AL6" s="289" t="s">
        <v>214</v>
      </c>
      <c r="AM6" s="290"/>
      <c r="AO6" s="106">
        <f>IF(Proforma!C12=Lists!AO4,1*Lists!AO3,((AO5-Proforma!C12)/365)*AO3)</f>
        <v>0</v>
      </c>
      <c r="AP6" s="289" t="s">
        <v>214</v>
      </c>
      <c r="AQ6" s="290"/>
      <c r="AS6" s="106">
        <f>IF(Proforma!C12=Lists!AS4,1*Lists!AS3,((AS5-Proforma!C12)/365)*AS3)</f>
        <v>0</v>
      </c>
      <c r="AT6" s="289" t="s">
        <v>214</v>
      </c>
      <c r="AU6" s="290"/>
      <c r="AW6" s="106">
        <f>IF(Proforma!C12=Lists!AW4,1*Lists!AW3,((AW5-Proforma!C12)/365)*AW3)</f>
        <v>0</v>
      </c>
      <c r="AX6" s="289" t="s">
        <v>214</v>
      </c>
      <c r="AY6" s="290"/>
      <c r="BA6" s="106">
        <f>IF(Proforma!C12=Lists!BA4,1*Lists!BA3,((BA5-Proforma!C12)/365)*BA3)</f>
        <v>0</v>
      </c>
      <c r="BB6" s="289" t="s">
        <v>214</v>
      </c>
      <c r="BC6" s="290"/>
    </row>
    <row r="7" spans="1:55">
      <c r="A7" s="6" t="s">
        <v>5</v>
      </c>
      <c r="G7" s="41">
        <v>4118</v>
      </c>
      <c r="H7" s="39" t="s">
        <v>72</v>
      </c>
    </row>
    <row r="8" spans="1:55">
      <c r="A8" s="6" t="s">
        <v>4</v>
      </c>
      <c r="G8" s="41">
        <v>4120</v>
      </c>
      <c r="H8" s="39" t="s">
        <v>184</v>
      </c>
    </row>
    <row r="9" spans="1:55">
      <c r="A9" s="10" t="s">
        <v>201</v>
      </c>
      <c r="G9" s="41">
        <v>4122</v>
      </c>
      <c r="H9" s="39" t="s">
        <v>186</v>
      </c>
    </row>
    <row r="10" spans="1:55" ht="13.5" thickBot="1">
      <c r="A10" s="6" t="s">
        <v>13</v>
      </c>
      <c r="G10" s="41">
        <v>4124</v>
      </c>
      <c r="H10" s="39" t="s">
        <v>180</v>
      </c>
      <c r="M10" s="291" t="s">
        <v>322</v>
      </c>
      <c r="N10" s="292"/>
      <c r="O10" s="293"/>
      <c r="Q10" s="291" t="s">
        <v>203</v>
      </c>
      <c r="R10" s="292"/>
      <c r="S10" s="293"/>
      <c r="U10" s="291" t="s">
        <v>379</v>
      </c>
      <c r="V10" s="292"/>
      <c r="W10" s="293"/>
      <c r="Y10" s="306" t="s">
        <v>380</v>
      </c>
      <c r="Z10" s="292"/>
      <c r="AA10" s="293"/>
      <c r="AC10" s="306" t="s">
        <v>335</v>
      </c>
      <c r="AD10" s="292"/>
      <c r="AE10" s="293"/>
      <c r="AG10" s="306" t="s">
        <v>261</v>
      </c>
      <c r="AH10" s="292"/>
      <c r="AI10" s="293"/>
    </row>
    <row r="11" spans="1:55">
      <c r="A11" s="10" t="s">
        <v>20</v>
      </c>
      <c r="G11" s="41">
        <v>4126</v>
      </c>
      <c r="H11" s="39" t="s">
        <v>49</v>
      </c>
      <c r="M11" s="107">
        <v>203700</v>
      </c>
      <c r="N11" s="294" t="s">
        <v>323</v>
      </c>
      <c r="O11" s="295"/>
      <c r="Q11" s="50">
        <f>Proforma!C18</f>
        <v>0</v>
      </c>
      <c r="R11" s="307" t="s">
        <v>207</v>
      </c>
      <c r="S11" s="308"/>
      <c r="U11" s="50">
        <f>Proforma!C20</f>
        <v>0</v>
      </c>
      <c r="V11" s="307" t="s">
        <v>207</v>
      </c>
      <c r="W11" s="308"/>
      <c r="Y11" s="50">
        <f>Proforma!C22</f>
        <v>0</v>
      </c>
      <c r="Z11" s="307" t="s">
        <v>207</v>
      </c>
      <c r="AA11" s="308"/>
      <c r="AC11" s="50">
        <f>Proforma!C23</f>
        <v>0</v>
      </c>
      <c r="AD11" s="307" t="s">
        <v>207</v>
      </c>
      <c r="AE11" s="308"/>
      <c r="AG11" s="50" t="e">
        <f>Proforma!L13*Proforma!L14*Proforma!#REF!*Proforma!#REF!</f>
        <v>#REF!</v>
      </c>
      <c r="AH11" s="307" t="s">
        <v>207</v>
      </c>
      <c r="AI11" s="308"/>
    </row>
    <row r="12" spans="1:55">
      <c r="A12" s="6" t="s">
        <v>1</v>
      </c>
      <c r="G12" s="41">
        <v>4128</v>
      </c>
      <c r="H12" s="39" t="s">
        <v>187</v>
      </c>
      <c r="M12" s="46">
        <v>44743</v>
      </c>
      <c r="N12" s="296" t="s">
        <v>215</v>
      </c>
      <c r="O12" s="297"/>
      <c r="Q12" s="46">
        <v>44743</v>
      </c>
      <c r="R12" s="309" t="s">
        <v>215</v>
      </c>
      <c r="S12" s="290"/>
      <c r="U12" s="46">
        <v>44743</v>
      </c>
      <c r="V12" s="309" t="s">
        <v>215</v>
      </c>
      <c r="W12" s="290"/>
      <c r="Y12" s="46">
        <v>44743</v>
      </c>
      <c r="Z12" s="309" t="s">
        <v>215</v>
      </c>
      <c r="AA12" s="290"/>
      <c r="AC12" s="46">
        <v>44743</v>
      </c>
      <c r="AD12" s="309" t="s">
        <v>215</v>
      </c>
      <c r="AE12" s="290"/>
      <c r="AG12" s="46">
        <v>44743</v>
      </c>
      <c r="AH12" s="309" t="s">
        <v>215</v>
      </c>
      <c r="AI12" s="290"/>
    </row>
    <row r="13" spans="1:55">
      <c r="G13" s="41">
        <v>4130</v>
      </c>
      <c r="H13" s="39" t="s">
        <v>148</v>
      </c>
      <c r="M13" s="46">
        <v>45107</v>
      </c>
      <c r="N13" s="296" t="s">
        <v>208</v>
      </c>
      <c r="O13" s="297"/>
      <c r="Q13" s="46">
        <v>45107</v>
      </c>
      <c r="R13" s="309" t="s">
        <v>208</v>
      </c>
      <c r="S13" s="290"/>
      <c r="U13" s="46">
        <v>45107</v>
      </c>
      <c r="V13" s="309" t="s">
        <v>208</v>
      </c>
      <c r="W13" s="290"/>
      <c r="Y13" s="46">
        <v>45107</v>
      </c>
      <c r="Z13" s="309" t="s">
        <v>208</v>
      </c>
      <c r="AA13" s="290"/>
      <c r="AC13" s="46">
        <v>45107</v>
      </c>
      <c r="AD13" s="309" t="s">
        <v>208</v>
      </c>
      <c r="AE13" s="290"/>
      <c r="AG13" s="46">
        <v>45107</v>
      </c>
      <c r="AH13" s="309" t="s">
        <v>208</v>
      </c>
      <c r="AI13" s="290"/>
    </row>
    <row r="14" spans="1:55" ht="13.5" thickBot="1">
      <c r="G14" s="41">
        <v>4132</v>
      </c>
      <c r="H14" s="39" t="s">
        <v>82</v>
      </c>
      <c r="M14" s="108"/>
      <c r="N14" s="47"/>
      <c r="O14" s="48"/>
      <c r="Q14" s="51">
        <f>IF(Proforma!C12=Lists!Q12,1*Lists!Q11,((Q13-Proforma!C12)/365)*Q11)</f>
        <v>0</v>
      </c>
      <c r="R14" s="304" t="s">
        <v>214</v>
      </c>
      <c r="S14" s="305"/>
      <c r="U14" s="51">
        <f>IF(Proforma!C12=Lists!U12,1*Lists!U11,((U13-Proforma!C12)/365)*U11)</f>
        <v>0</v>
      </c>
      <c r="V14" s="304" t="s">
        <v>214</v>
      </c>
      <c r="W14" s="305"/>
      <c r="Y14" s="51">
        <f>IF(Proforma!C12=Lists!Y12,1*Lists!Y11,((Y13-Proforma!C12)/365)*Y11)</f>
        <v>0</v>
      </c>
      <c r="Z14" s="304" t="s">
        <v>214</v>
      </c>
      <c r="AA14" s="305"/>
      <c r="AC14" s="51">
        <f>IF(Proforma!C12=Lists!AC12,1*Lists!AC11,((AC13-Proforma!C12)/365)*AC11)</f>
        <v>0</v>
      </c>
      <c r="AD14" s="304" t="s">
        <v>214</v>
      </c>
      <c r="AE14" s="305"/>
      <c r="AG14" s="51" t="e">
        <f>IF(Proforma!C12=Lists!AG12,1*Lists!AG11,((AG13-Proforma!C12)/365)*AG11)</f>
        <v>#REF!</v>
      </c>
      <c r="AH14" s="304" t="s">
        <v>214</v>
      </c>
      <c r="AI14" s="305"/>
    </row>
    <row r="15" spans="1:55">
      <c r="G15" s="41">
        <v>4134</v>
      </c>
      <c r="H15" s="39" t="s">
        <v>185</v>
      </c>
    </row>
    <row r="16" spans="1:55">
      <c r="G16" s="41">
        <v>4136</v>
      </c>
      <c r="H16" s="39" t="s">
        <v>42</v>
      </c>
      <c r="M16" s="298" t="s">
        <v>324</v>
      </c>
      <c r="N16" s="298"/>
      <c r="O16" s="298"/>
    </row>
    <row r="17" spans="1:14">
      <c r="G17" s="41">
        <v>4138</v>
      </c>
      <c r="H17" s="39" t="s">
        <v>183</v>
      </c>
      <c r="M17">
        <v>0.3</v>
      </c>
      <c r="N17" t="s">
        <v>325</v>
      </c>
    </row>
    <row r="18" spans="1:14">
      <c r="G18" s="41">
        <v>4140</v>
      </c>
      <c r="H18" s="39" t="s">
        <v>188</v>
      </c>
    </row>
    <row r="19" spans="1:14">
      <c r="G19" s="41">
        <v>4141</v>
      </c>
      <c r="H19" s="40" t="s">
        <v>170</v>
      </c>
    </row>
    <row r="20" spans="1:14">
      <c r="G20" s="41">
        <v>4142</v>
      </c>
      <c r="H20" s="39" t="s">
        <v>179</v>
      </c>
    </row>
    <row r="21" spans="1:14">
      <c r="G21" s="41">
        <v>4144</v>
      </c>
      <c r="H21" s="39" t="s">
        <v>182</v>
      </c>
    </row>
    <row r="22" spans="1:14">
      <c r="G22" s="41">
        <v>4146</v>
      </c>
      <c r="H22" s="39" t="s">
        <v>181</v>
      </c>
    </row>
    <row r="26" spans="1:14">
      <c r="A26" s="13" t="s">
        <v>570</v>
      </c>
      <c r="G26" s="211" t="s">
        <v>641</v>
      </c>
      <c r="I26" s="211" t="s">
        <v>386</v>
      </c>
      <c r="K26" s="216" t="s">
        <v>386</v>
      </c>
    </row>
    <row r="27" spans="1:14">
      <c r="A27" t="s">
        <v>493</v>
      </c>
      <c r="G27" t="s">
        <v>346</v>
      </c>
      <c r="I27" s="13" t="s">
        <v>346</v>
      </c>
      <c r="K27" s="215" t="s">
        <v>382</v>
      </c>
    </row>
    <row r="28" spans="1:14">
      <c r="A28" t="s">
        <v>494</v>
      </c>
      <c r="G28" t="s">
        <v>347</v>
      </c>
      <c r="I28" s="13" t="s">
        <v>349</v>
      </c>
      <c r="K28" s="215" t="s">
        <v>383</v>
      </c>
    </row>
    <row r="29" spans="1:14">
      <c r="A29" t="s">
        <v>495</v>
      </c>
      <c r="G29" t="s">
        <v>354</v>
      </c>
      <c r="I29" s="13" t="s">
        <v>350</v>
      </c>
      <c r="K29" s="215" t="s">
        <v>352</v>
      </c>
    </row>
    <row r="30" spans="1:14">
      <c r="A30" t="s">
        <v>496</v>
      </c>
      <c r="G30" t="s">
        <v>343</v>
      </c>
      <c r="I30" s="13" t="s">
        <v>351</v>
      </c>
      <c r="K30" s="215" t="s">
        <v>384</v>
      </c>
    </row>
    <row r="31" spans="1:14">
      <c r="A31" t="s">
        <v>43</v>
      </c>
      <c r="I31" s="13" t="s">
        <v>352</v>
      </c>
      <c r="K31" s="215" t="s">
        <v>385</v>
      </c>
    </row>
    <row r="32" spans="1:14">
      <c r="A32" t="s">
        <v>497</v>
      </c>
      <c r="K32" s="215" t="s">
        <v>349</v>
      </c>
    </row>
    <row r="33" spans="1:7">
      <c r="A33" t="s">
        <v>498</v>
      </c>
      <c r="G33" t="s">
        <v>642</v>
      </c>
    </row>
    <row r="34" spans="1:7">
      <c r="A34" t="s">
        <v>499</v>
      </c>
      <c r="G34">
        <v>1</v>
      </c>
    </row>
    <row r="35" spans="1:7">
      <c r="A35" t="s">
        <v>500</v>
      </c>
      <c r="G35">
        <v>2</v>
      </c>
    </row>
    <row r="36" spans="1:7">
      <c r="A36" t="s">
        <v>503</v>
      </c>
      <c r="G36">
        <v>5</v>
      </c>
    </row>
    <row r="37" spans="1:7">
      <c r="A37" t="s">
        <v>504</v>
      </c>
    </row>
    <row r="38" spans="1:7">
      <c r="A38" t="s">
        <v>505</v>
      </c>
    </row>
    <row r="39" spans="1:7">
      <c r="A39" t="s">
        <v>506</v>
      </c>
    </row>
    <row r="40" spans="1:7">
      <c r="A40" t="s">
        <v>52</v>
      </c>
    </row>
    <row r="41" spans="1:7">
      <c r="A41" t="s">
        <v>507</v>
      </c>
    </row>
    <row r="42" spans="1:7">
      <c r="A42" t="s">
        <v>508</v>
      </c>
    </row>
    <row r="43" spans="1:7">
      <c r="A43" t="s">
        <v>53</v>
      </c>
    </row>
    <row r="44" spans="1:7">
      <c r="A44" t="s">
        <v>510</v>
      </c>
    </row>
    <row r="45" spans="1:7">
      <c r="A45" t="s">
        <v>511</v>
      </c>
    </row>
    <row r="46" spans="1:7">
      <c r="A46" t="s">
        <v>512</v>
      </c>
    </row>
    <row r="47" spans="1:7">
      <c r="A47" t="s">
        <v>513</v>
      </c>
    </row>
    <row r="48" spans="1:7">
      <c r="A48" t="s">
        <v>514</v>
      </c>
    </row>
    <row r="49" spans="1:1">
      <c r="A49" t="s">
        <v>58</v>
      </c>
    </row>
    <row r="50" spans="1:1">
      <c r="A50" t="s">
        <v>515</v>
      </c>
    </row>
    <row r="51" spans="1:1">
      <c r="A51" t="s">
        <v>516</v>
      </c>
    </row>
    <row r="52" spans="1:1">
      <c r="A52" t="s">
        <v>413</v>
      </c>
    </row>
    <row r="53" spans="1:1">
      <c r="A53" t="s">
        <v>517</v>
      </c>
    </row>
    <row r="54" spans="1:1">
      <c r="A54" t="s">
        <v>518</v>
      </c>
    </row>
    <row r="55" spans="1:1">
      <c r="A55" t="s">
        <v>519</v>
      </c>
    </row>
    <row r="56" spans="1:1">
      <c r="A56" t="s">
        <v>520</v>
      </c>
    </row>
    <row r="57" spans="1:1">
      <c r="A57" t="s">
        <v>521</v>
      </c>
    </row>
    <row r="58" spans="1:1">
      <c r="A58" t="s">
        <v>522</v>
      </c>
    </row>
    <row r="59" spans="1:1">
      <c r="A59" t="s">
        <v>523</v>
      </c>
    </row>
    <row r="60" spans="1:1">
      <c r="A60" t="s">
        <v>524</v>
      </c>
    </row>
    <row r="61" spans="1:1">
      <c r="A61" t="s">
        <v>525</v>
      </c>
    </row>
    <row r="62" spans="1:1">
      <c r="A62" t="s">
        <v>526</v>
      </c>
    </row>
    <row r="63" spans="1:1">
      <c r="A63" t="s">
        <v>527</v>
      </c>
    </row>
    <row r="64" spans="1:1">
      <c r="A64" t="s">
        <v>528</v>
      </c>
    </row>
    <row r="65" spans="1:1">
      <c r="A65" t="s">
        <v>529</v>
      </c>
    </row>
    <row r="66" spans="1:1">
      <c r="A66" t="s">
        <v>72</v>
      </c>
    </row>
    <row r="67" spans="1:1">
      <c r="A67" t="s">
        <v>530</v>
      </c>
    </row>
    <row r="68" spans="1:1">
      <c r="A68" t="s">
        <v>179</v>
      </c>
    </row>
    <row r="69" spans="1:1">
      <c r="A69" t="s">
        <v>433</v>
      </c>
    </row>
    <row r="70" spans="1:1">
      <c r="A70" t="s">
        <v>531</v>
      </c>
    </row>
    <row r="71" spans="1:1">
      <c r="A71" t="s">
        <v>532</v>
      </c>
    </row>
    <row r="72" spans="1:1">
      <c r="A72" t="s">
        <v>533</v>
      </c>
    </row>
    <row r="73" spans="1:1">
      <c r="A73" t="s">
        <v>534</v>
      </c>
    </row>
    <row r="74" spans="1:1">
      <c r="A74" t="s">
        <v>79</v>
      </c>
    </row>
    <row r="75" spans="1:1">
      <c r="A75" t="s">
        <v>82</v>
      </c>
    </row>
    <row r="76" spans="1:1">
      <c r="A76" t="s">
        <v>90</v>
      </c>
    </row>
    <row r="77" spans="1:1">
      <c r="A77" t="s">
        <v>535</v>
      </c>
    </row>
    <row r="78" spans="1:1">
      <c r="A78" t="s">
        <v>96</v>
      </c>
    </row>
    <row r="79" spans="1:1">
      <c r="A79" t="s">
        <v>1</v>
      </c>
    </row>
    <row r="80" spans="1:1">
      <c r="A80" t="s">
        <v>537</v>
      </c>
    </row>
    <row r="81" spans="1:1">
      <c r="A81" t="s">
        <v>538</v>
      </c>
    </row>
    <row r="82" spans="1:1">
      <c r="A82" t="s">
        <v>539</v>
      </c>
    </row>
    <row r="83" spans="1:1">
      <c r="A83" t="s">
        <v>540</v>
      </c>
    </row>
    <row r="84" spans="1:1">
      <c r="A84" t="s">
        <v>541</v>
      </c>
    </row>
    <row r="85" spans="1:1">
      <c r="A85" t="s">
        <v>99</v>
      </c>
    </row>
    <row r="86" spans="1:1">
      <c r="A86" t="s">
        <v>105</v>
      </c>
    </row>
    <row r="87" spans="1:1">
      <c r="A87" t="s">
        <v>542</v>
      </c>
    </row>
    <row r="88" spans="1:1">
      <c r="A88" t="s">
        <v>543</v>
      </c>
    </row>
    <row r="89" spans="1:1">
      <c r="A89" t="s">
        <v>544</v>
      </c>
    </row>
    <row r="90" spans="1:1">
      <c r="A90" t="s">
        <v>545</v>
      </c>
    </row>
    <row r="91" spans="1:1">
      <c r="A91" t="s">
        <v>546</v>
      </c>
    </row>
    <row r="92" spans="1:1">
      <c r="A92" t="s">
        <v>547</v>
      </c>
    </row>
    <row r="93" spans="1:1">
      <c r="A93" t="s">
        <v>548</v>
      </c>
    </row>
    <row r="94" spans="1:1">
      <c r="A94" t="s">
        <v>144</v>
      </c>
    </row>
    <row r="95" spans="1:1">
      <c r="A95" t="s">
        <v>549</v>
      </c>
    </row>
    <row r="96" spans="1:1">
      <c r="A96" t="s">
        <v>550</v>
      </c>
    </row>
    <row r="97" spans="1:1">
      <c r="A97" t="s">
        <v>551</v>
      </c>
    </row>
    <row r="98" spans="1:1">
      <c r="A98" t="s">
        <v>552</v>
      </c>
    </row>
    <row r="99" spans="1:1">
      <c r="A99" t="s">
        <v>553</v>
      </c>
    </row>
    <row r="100" spans="1:1">
      <c r="A100" t="s">
        <v>148</v>
      </c>
    </row>
    <row r="101" spans="1:1">
      <c r="A101" t="s">
        <v>554</v>
      </c>
    </row>
    <row r="102" spans="1:1">
      <c r="A102" t="s">
        <v>555</v>
      </c>
    </row>
    <row r="103" spans="1:1">
      <c r="A103" t="s">
        <v>485</v>
      </c>
    </row>
    <row r="104" spans="1:1">
      <c r="A104" t="s">
        <v>556</v>
      </c>
    </row>
    <row r="105" spans="1:1">
      <c r="A105" t="s">
        <v>567</v>
      </c>
    </row>
    <row r="106" spans="1:1">
      <c r="A106" t="s">
        <v>568</v>
      </c>
    </row>
    <row r="107" spans="1:1">
      <c r="A107" t="s">
        <v>170</v>
      </c>
    </row>
    <row r="108" spans="1:1">
      <c r="A108" t="s">
        <v>569</v>
      </c>
    </row>
  </sheetData>
  <autoFilter ref="A26:A108"/>
  <mergeCells count="85">
    <mergeCell ref="AG10:AI10"/>
    <mergeCell ref="AH11:AI11"/>
    <mergeCell ref="AH12:AI12"/>
    <mergeCell ref="AH13:AI13"/>
    <mergeCell ref="AH14:AI14"/>
    <mergeCell ref="AC10:AE10"/>
    <mergeCell ref="AD11:AE11"/>
    <mergeCell ref="AD12:AE12"/>
    <mergeCell ref="AD13:AE13"/>
    <mergeCell ref="AD14:AE14"/>
    <mergeCell ref="Y10:AA10"/>
    <mergeCell ref="Z11:AA11"/>
    <mergeCell ref="Z12:AA12"/>
    <mergeCell ref="Z13:AA13"/>
    <mergeCell ref="Z14:AA14"/>
    <mergeCell ref="U10:W10"/>
    <mergeCell ref="V11:W11"/>
    <mergeCell ref="V12:W12"/>
    <mergeCell ref="V13:W13"/>
    <mergeCell ref="V14:W14"/>
    <mergeCell ref="Q10:S10"/>
    <mergeCell ref="R11:S11"/>
    <mergeCell ref="R12:S12"/>
    <mergeCell ref="R13:S13"/>
    <mergeCell ref="R14:S14"/>
    <mergeCell ref="AD6:AE6"/>
    <mergeCell ref="AG2:AI2"/>
    <mergeCell ref="AH3:AI3"/>
    <mergeCell ref="AH4:AI4"/>
    <mergeCell ref="AH5:AI5"/>
    <mergeCell ref="AH6:AI6"/>
    <mergeCell ref="Q2:S2"/>
    <mergeCell ref="R3:S3"/>
    <mergeCell ref="R4:S4"/>
    <mergeCell ref="R5:S5"/>
    <mergeCell ref="AC2:AE2"/>
    <mergeCell ref="AD3:AE3"/>
    <mergeCell ref="AD4:AE4"/>
    <mergeCell ref="AD5:AE5"/>
    <mergeCell ref="M1:AA1"/>
    <mergeCell ref="V6:W6"/>
    <mergeCell ref="Z6:AA6"/>
    <mergeCell ref="R6:S6"/>
    <mergeCell ref="M2:O2"/>
    <mergeCell ref="N3:O3"/>
    <mergeCell ref="N4:O4"/>
    <mergeCell ref="N5:O5"/>
    <mergeCell ref="U2:W2"/>
    <mergeCell ref="V3:W3"/>
    <mergeCell ref="V4:W4"/>
    <mergeCell ref="V5:W5"/>
    <mergeCell ref="Y2:AA2"/>
    <mergeCell ref="Z3:AA3"/>
    <mergeCell ref="Z4:AA4"/>
    <mergeCell ref="Z5:AA5"/>
    <mergeCell ref="AK2:AM2"/>
    <mergeCell ref="AL3:AM3"/>
    <mergeCell ref="AL4:AM4"/>
    <mergeCell ref="AL5:AM5"/>
    <mergeCell ref="AL6:AM6"/>
    <mergeCell ref="AO2:AQ2"/>
    <mergeCell ref="AP3:AQ3"/>
    <mergeCell ref="AP4:AQ4"/>
    <mergeCell ref="AP5:AQ5"/>
    <mergeCell ref="AP6:AQ6"/>
    <mergeCell ref="AS2:AU2"/>
    <mergeCell ref="AT3:AU3"/>
    <mergeCell ref="AT4:AU4"/>
    <mergeCell ref="AT5:AU5"/>
    <mergeCell ref="AT6:AU6"/>
    <mergeCell ref="AW2:AY2"/>
    <mergeCell ref="AX3:AY3"/>
    <mergeCell ref="AX4:AY4"/>
    <mergeCell ref="AX5:AY5"/>
    <mergeCell ref="AX6:AY6"/>
    <mergeCell ref="M10:O10"/>
    <mergeCell ref="N11:O11"/>
    <mergeCell ref="N12:O12"/>
    <mergeCell ref="N13:O13"/>
    <mergeCell ref="M16:O16"/>
    <mergeCell ref="BA2:BC2"/>
    <mergeCell ref="BB3:BC3"/>
    <mergeCell ref="BB4:BC4"/>
    <mergeCell ref="BB5:BC5"/>
    <mergeCell ref="BB6:BC6"/>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4"/>
  <sheetViews>
    <sheetView zoomScale="80" zoomScaleNormal="80" workbookViewId="0">
      <selection sqref="A1:B1"/>
    </sheetView>
  </sheetViews>
  <sheetFormatPr defaultColWidth="8.7109375" defaultRowHeight="15"/>
  <cols>
    <col min="1" max="1" width="47.7109375" style="32" bestFit="1" customWidth="1"/>
    <col min="2" max="4" width="12.5703125" style="24" customWidth="1"/>
    <col min="5" max="5" width="15.42578125" style="25" customWidth="1"/>
    <col min="6" max="8" width="16.42578125" style="24" customWidth="1"/>
    <col min="9" max="9" width="16.42578125" style="22" customWidth="1"/>
    <col min="10" max="10" width="49.42578125" style="22" bestFit="1" customWidth="1"/>
    <col min="11" max="14" width="9.42578125" style="22" hidden="1" customWidth="1"/>
    <col min="15" max="17" width="8.7109375" style="22" hidden="1" customWidth="1"/>
    <col min="18" max="18" width="11.42578125" style="22" hidden="1" customWidth="1"/>
    <col min="19" max="19" width="0" style="22" hidden="1" customWidth="1"/>
    <col min="20" max="20" width="8.7109375" style="24"/>
    <col min="21" max="16384" width="8.7109375" style="22"/>
  </cols>
  <sheetData>
    <row r="1" spans="1:23" ht="60">
      <c r="A1" s="14" t="s">
        <v>24</v>
      </c>
      <c r="B1" s="15" t="s">
        <v>25</v>
      </c>
      <c r="C1" s="15" t="s">
        <v>26</v>
      </c>
      <c r="D1" s="16" t="s">
        <v>27</v>
      </c>
      <c r="E1" s="17" t="s">
        <v>28</v>
      </c>
      <c r="F1" s="15" t="s">
        <v>29</v>
      </c>
      <c r="G1" s="15" t="s">
        <v>30</v>
      </c>
      <c r="H1" s="16" t="s">
        <v>31</v>
      </c>
      <c r="I1" s="17" t="s">
        <v>32</v>
      </c>
      <c r="J1" s="18" t="s">
        <v>259</v>
      </c>
      <c r="K1" s="19" t="s">
        <v>33</v>
      </c>
      <c r="L1" s="19" t="s">
        <v>34</v>
      </c>
      <c r="M1" s="20" t="s">
        <v>35</v>
      </c>
      <c r="N1" s="21" t="s">
        <v>36</v>
      </c>
      <c r="O1" s="19" t="s">
        <v>29</v>
      </c>
      <c r="P1" s="19" t="s">
        <v>30</v>
      </c>
      <c r="Q1" s="20" t="s">
        <v>31</v>
      </c>
      <c r="R1" s="17" t="s">
        <v>37</v>
      </c>
      <c r="S1" s="20" t="s">
        <v>38</v>
      </c>
      <c r="T1" s="20" t="s">
        <v>39</v>
      </c>
      <c r="U1" s="54" t="s">
        <v>191</v>
      </c>
      <c r="V1" s="20" t="s">
        <v>40</v>
      </c>
      <c r="W1" s="22" t="s">
        <v>190</v>
      </c>
    </row>
    <row r="2" spans="1:23">
      <c r="A2" s="23" t="s">
        <v>41</v>
      </c>
      <c r="B2" s="24">
        <v>4052</v>
      </c>
      <c r="C2" s="24">
        <v>3606</v>
      </c>
      <c r="D2" s="24">
        <f>VLOOKUP(A2,'[3]2017'!$B:$I,8,FALSE)</f>
        <v>3362</v>
      </c>
      <c r="E2" s="25">
        <f>IFERROR(AVERAGE(B2:D2),0)</f>
        <v>3673.3333333333335</v>
      </c>
      <c r="F2" s="26">
        <v>17</v>
      </c>
      <c r="G2" s="24">
        <v>11</v>
      </c>
      <c r="H2" s="24">
        <f>VLOOKUP(A2,'[3]2017'!$B:$D,3,FALSE)</f>
        <v>13</v>
      </c>
      <c r="I2" s="27">
        <f>AVERAGE(F2:H2)</f>
        <v>13.666666666666666</v>
      </c>
      <c r="J2" s="28" t="s">
        <v>41</v>
      </c>
      <c r="K2" s="29">
        <v>199338</v>
      </c>
      <c r="L2" s="29">
        <v>177284</v>
      </c>
      <c r="M2" s="29">
        <v>185000</v>
      </c>
      <c r="N2" s="29">
        <f>IFERROR(AVERAGE(K2:M2),0)</f>
        <v>187207.33333333334</v>
      </c>
      <c r="O2" s="24">
        <v>47</v>
      </c>
      <c r="P2" s="24">
        <v>34</v>
      </c>
      <c r="Q2" s="24">
        <v>33</v>
      </c>
      <c r="R2" s="27">
        <f>AVERAGE(O2:Q2)</f>
        <v>38</v>
      </c>
      <c r="S2" s="30">
        <v>50.842888688967037</v>
      </c>
      <c r="T2" s="77" t="s">
        <v>258</v>
      </c>
      <c r="U2" s="43">
        <v>59.806442528646045</v>
      </c>
      <c r="V2" s="22">
        <f>IFERROR(VLOOKUP(A2,'Count of Providers as of Jan 18'!A:B,2,FALSE),0)</f>
        <v>6</v>
      </c>
      <c r="W2" s="42">
        <f>S2-U2</f>
        <v>-8.9635538396790082</v>
      </c>
    </row>
    <row r="3" spans="1:23">
      <c r="A3" s="23" t="str">
        <f>J3</f>
        <v>Anesthesiology: Pain Management</v>
      </c>
      <c r="F3" s="26"/>
      <c r="I3" s="27"/>
      <c r="J3" s="28" t="s">
        <v>43</v>
      </c>
      <c r="K3" s="29">
        <v>337293</v>
      </c>
      <c r="L3" s="29">
        <v>357432</v>
      </c>
      <c r="M3" s="29">
        <v>357263</v>
      </c>
      <c r="N3" s="29">
        <f t="shared" ref="N3:N71" si="0">IFERROR(AVERAGE(K3:M3),0)</f>
        <v>350662.66666666669</v>
      </c>
      <c r="O3" s="24">
        <v>1375</v>
      </c>
      <c r="P3" s="24">
        <v>1008</v>
      </c>
      <c r="Q3" s="24">
        <v>1087</v>
      </c>
      <c r="R3" s="27">
        <f t="shared" ref="R3:R71" si="1">AVERAGE(O3:Q3)</f>
        <v>1156.6666666666667</v>
      </c>
      <c r="S3" s="30">
        <v>54.37</v>
      </c>
      <c r="U3" s="43">
        <v>83.935873255375341</v>
      </c>
      <c r="V3" s="22">
        <f>IFERROR(VLOOKUP(A3,'Count of Providers as of Jan 18'!A:B,2,FALSE),0)</f>
        <v>6</v>
      </c>
      <c r="W3" s="42">
        <f t="shared" ref="W3:W71" si="2">S3-U3</f>
        <v>-29.565873255375344</v>
      </c>
    </row>
    <row r="4" spans="1:23">
      <c r="A4" s="23" t="s">
        <v>43</v>
      </c>
      <c r="B4" s="24">
        <v>5044</v>
      </c>
      <c r="C4" s="24">
        <v>4266</v>
      </c>
      <c r="D4" s="24">
        <f>VLOOKUP(A4,'[3]2017'!$B:$I,8,FALSE)</f>
        <v>4502</v>
      </c>
      <c r="E4" s="25">
        <f t="shared" ref="E4:E65" si="3">IFERROR(AVERAGE(B4:D4),0)</f>
        <v>4604</v>
      </c>
      <c r="F4" s="26">
        <v>25</v>
      </c>
      <c r="G4" s="24">
        <v>25</v>
      </c>
      <c r="H4" s="24">
        <f>VLOOKUP(A4,'[3]2017'!$B:$D,3,FALSE)</f>
        <v>33</v>
      </c>
      <c r="I4" s="27">
        <f t="shared" ref="I4:I65" si="4">AVERAGE(F4:H4)</f>
        <v>27.666666666666668</v>
      </c>
      <c r="J4" s="28" t="s">
        <v>44</v>
      </c>
      <c r="K4" s="29">
        <v>321583</v>
      </c>
      <c r="L4" s="29">
        <v>338877</v>
      </c>
      <c r="M4" s="29">
        <v>361388</v>
      </c>
      <c r="N4" s="29">
        <f t="shared" si="0"/>
        <v>340616</v>
      </c>
      <c r="O4" s="24">
        <v>66</v>
      </c>
      <c r="P4" s="24">
        <v>56</v>
      </c>
      <c r="Q4" s="24">
        <v>70</v>
      </c>
      <c r="R4" s="27">
        <f t="shared" si="1"/>
        <v>64</v>
      </c>
      <c r="S4" s="30">
        <v>80.231607222802566</v>
      </c>
      <c r="U4" s="43">
        <v>41.775672810587153</v>
      </c>
      <c r="V4" s="22">
        <f>IFERROR(VLOOKUP(A4,'Count of Providers as of Jan 18'!A:B,2,FALSE),0)</f>
        <v>6</v>
      </c>
      <c r="W4" s="42">
        <f t="shared" si="2"/>
        <v>38.455934412215413</v>
      </c>
    </row>
    <row r="5" spans="1:23">
      <c r="A5" s="23" t="s">
        <v>44</v>
      </c>
      <c r="B5" s="24">
        <v>8506</v>
      </c>
      <c r="C5" s="24">
        <v>9004</v>
      </c>
      <c r="D5" s="24">
        <f>VLOOKUP(A5,'[3]2017'!$B:$I,8,FALSE)</f>
        <v>9587</v>
      </c>
      <c r="E5" s="25">
        <f t="shared" si="3"/>
        <v>9032.3333333333339</v>
      </c>
      <c r="F5" s="26">
        <v>39</v>
      </c>
      <c r="G5" s="24">
        <v>35</v>
      </c>
      <c r="H5" s="24">
        <f>VLOOKUP(A5,'[3]2017'!$B:$D,3,FALSE)</f>
        <v>25</v>
      </c>
      <c r="I5" s="27">
        <f t="shared" si="4"/>
        <v>33</v>
      </c>
      <c r="J5" s="28" t="s">
        <v>45</v>
      </c>
      <c r="K5" s="29">
        <v>300756</v>
      </c>
      <c r="L5" s="29">
        <v>350333</v>
      </c>
      <c r="M5" s="29">
        <v>405000</v>
      </c>
      <c r="N5" s="29">
        <f t="shared" si="0"/>
        <v>352029.66666666669</v>
      </c>
      <c r="O5" s="24">
        <v>83</v>
      </c>
      <c r="P5" s="24">
        <v>59</v>
      </c>
      <c r="Q5" s="24">
        <v>69</v>
      </c>
      <c r="R5" s="27">
        <f t="shared" si="1"/>
        <v>70.333333333333329</v>
      </c>
      <c r="S5" s="30">
        <v>42.221145655877343</v>
      </c>
      <c r="U5" s="43">
        <v>50.651794413770709</v>
      </c>
      <c r="V5" s="22">
        <f>IFERROR(VLOOKUP(A5,'Count of Providers as of Jan 18'!A:B,2,FALSE),0)</f>
        <v>6</v>
      </c>
      <c r="W5" s="42">
        <f t="shared" si="2"/>
        <v>-8.4306487578933655</v>
      </c>
    </row>
    <row r="6" spans="1:23">
      <c r="A6" s="23" t="s">
        <v>45</v>
      </c>
      <c r="B6" s="24">
        <v>8377</v>
      </c>
      <c r="C6" s="24">
        <v>7053</v>
      </c>
      <c r="D6" s="24">
        <f>VLOOKUP(A6,'[3]2017'!$B:$I,8,FALSE)</f>
        <v>8642</v>
      </c>
      <c r="E6" s="25">
        <f t="shared" si="3"/>
        <v>8024</v>
      </c>
      <c r="F6" s="26">
        <v>16</v>
      </c>
      <c r="G6" s="24">
        <v>16</v>
      </c>
      <c r="H6" s="24">
        <f>VLOOKUP(A6,'[3]2017'!$B:$D,3,FALSE)</f>
        <v>52</v>
      </c>
      <c r="I6" s="27">
        <f t="shared" si="4"/>
        <v>28</v>
      </c>
      <c r="J6" s="28" t="s">
        <v>46</v>
      </c>
      <c r="K6" s="29">
        <v>342319</v>
      </c>
      <c r="L6" s="29">
        <v>253802</v>
      </c>
      <c r="M6" s="29">
        <v>274162</v>
      </c>
      <c r="N6" s="29">
        <f t="shared" si="0"/>
        <v>290094.33333333331</v>
      </c>
      <c r="O6" s="24">
        <v>92</v>
      </c>
      <c r="P6" s="24">
        <v>83</v>
      </c>
      <c r="Q6" s="24">
        <v>86</v>
      </c>
      <c r="R6" s="27">
        <f t="shared" si="1"/>
        <v>87</v>
      </c>
      <c r="S6" s="30">
        <v>46.8223083548665</v>
      </c>
      <c r="U6" s="43">
        <v>45.885778194674934</v>
      </c>
      <c r="V6" s="22">
        <f>IFERROR(VLOOKUP(A6,'Count of Providers as of Jan 18'!A:B,2,FALSE),0)</f>
        <v>2</v>
      </c>
      <c r="W6" s="42">
        <f t="shared" si="2"/>
        <v>0.9365301601915661</v>
      </c>
    </row>
    <row r="7" spans="1:23">
      <c r="A7" s="23" t="s">
        <v>46</v>
      </c>
      <c r="B7" s="24">
        <v>8532</v>
      </c>
      <c r="C7" s="24">
        <v>9558</v>
      </c>
      <c r="D7" s="24">
        <f>VLOOKUP(A7,'[3]2017'!$B:$I,8,FALSE)</f>
        <v>9029</v>
      </c>
      <c r="E7" s="25">
        <f t="shared" si="3"/>
        <v>9039.6666666666661</v>
      </c>
      <c r="F7" s="26">
        <v>48</v>
      </c>
      <c r="G7" s="24">
        <v>57</v>
      </c>
      <c r="H7" s="24">
        <f>VLOOKUP(A7,'[3]2017'!$B:$D,3,FALSE)</f>
        <v>53</v>
      </c>
      <c r="I7" s="27">
        <f t="shared" si="4"/>
        <v>52.666666666666664</v>
      </c>
      <c r="J7" s="28" t="s">
        <v>47</v>
      </c>
      <c r="K7" s="29">
        <v>352500</v>
      </c>
      <c r="L7" s="29">
        <v>385409</v>
      </c>
      <c r="M7" s="29">
        <v>400000</v>
      </c>
      <c r="N7" s="29">
        <f t="shared" si="0"/>
        <v>379303</v>
      </c>
      <c r="O7" s="24">
        <v>94</v>
      </c>
      <c r="P7" s="24">
        <v>78</v>
      </c>
      <c r="Q7" s="24">
        <v>95</v>
      </c>
      <c r="R7" s="27">
        <f t="shared" si="1"/>
        <v>89</v>
      </c>
      <c r="S7" s="30">
        <v>43.892649277861608</v>
      </c>
      <c r="U7" s="43">
        <v>44.944835792479779</v>
      </c>
      <c r="V7" s="22">
        <f>IFERROR(VLOOKUP(A7,'Count of Providers as of Jan 18'!A:B,2,FALSE),0)</f>
        <v>6</v>
      </c>
      <c r="W7" s="42">
        <f t="shared" si="2"/>
        <v>-1.052186514618171</v>
      </c>
    </row>
    <row r="8" spans="1:23">
      <c r="A8" s="23" t="s">
        <v>47</v>
      </c>
      <c r="B8" s="24">
        <v>6311</v>
      </c>
      <c r="C8" s="24">
        <v>6376</v>
      </c>
      <c r="D8" s="24">
        <f>VLOOKUP(A8,'[3]2017'!$B:$I,8,FALSE)</f>
        <v>6469</v>
      </c>
      <c r="E8" s="25">
        <f t="shared" si="3"/>
        <v>6385.333333333333</v>
      </c>
      <c r="F8" s="26">
        <v>164</v>
      </c>
      <c r="G8" s="24">
        <v>157</v>
      </c>
      <c r="H8" s="24">
        <f>VLOOKUP(A8,'[3]2017'!$B:$D,3,FALSE)</f>
        <v>127</v>
      </c>
      <c r="I8" s="27">
        <f t="shared" si="4"/>
        <v>149.33333333333334</v>
      </c>
      <c r="J8" s="28" t="s">
        <v>48</v>
      </c>
      <c r="K8" s="29">
        <v>275000</v>
      </c>
      <c r="L8" s="29">
        <v>290567</v>
      </c>
      <c r="M8" s="29">
        <v>287493</v>
      </c>
      <c r="N8" s="29">
        <f t="shared" si="0"/>
        <v>284353.33333333331</v>
      </c>
      <c r="O8" s="24">
        <v>416</v>
      </c>
      <c r="P8" s="24">
        <v>270</v>
      </c>
      <c r="Q8" s="24">
        <v>373</v>
      </c>
      <c r="R8" s="27">
        <f t="shared" si="1"/>
        <v>353</v>
      </c>
      <c r="S8" s="30">
        <v>45.504301984383552</v>
      </c>
      <c r="U8" s="43">
        <v>66.138417130965962</v>
      </c>
      <c r="V8" s="22">
        <f>IFERROR(VLOOKUP(A8,'Count of Providers as of Jan 18'!A:B,2,FALSE),0)</f>
        <v>15</v>
      </c>
      <c r="W8" s="42">
        <f t="shared" si="2"/>
        <v>-20.63411514658241</v>
      </c>
    </row>
    <row r="9" spans="1:23">
      <c r="A9" s="23" t="s">
        <v>48</v>
      </c>
      <c r="B9" s="24">
        <v>4562</v>
      </c>
      <c r="C9" s="24">
        <v>7369</v>
      </c>
      <c r="D9" s="24">
        <f>VLOOKUP(A9,'[3]2017'!$B:$I,8,FALSE)</f>
        <v>5369</v>
      </c>
      <c r="E9" s="25">
        <f t="shared" si="3"/>
        <v>5766.666666666667</v>
      </c>
      <c r="F9" s="26">
        <v>14</v>
      </c>
      <c r="G9" s="24">
        <v>60</v>
      </c>
      <c r="H9" s="24">
        <f>VLOOKUP(A9,'[3]2017'!$B:$D,3,FALSE)</f>
        <v>12</v>
      </c>
      <c r="I9" s="27">
        <f t="shared" si="4"/>
        <v>28.666666666666668</v>
      </c>
      <c r="J9" s="28" t="s">
        <v>49</v>
      </c>
      <c r="K9" s="29">
        <v>284041</v>
      </c>
      <c r="L9" s="29">
        <v>300002</v>
      </c>
      <c r="M9" s="29">
        <v>265247</v>
      </c>
      <c r="N9" s="29">
        <f t="shared" si="0"/>
        <v>283096.66666666669</v>
      </c>
      <c r="O9" s="24">
        <v>36</v>
      </c>
      <c r="P9" s="24">
        <v>95</v>
      </c>
      <c r="Q9" s="24">
        <v>66</v>
      </c>
      <c r="R9" s="27">
        <f t="shared" si="1"/>
        <v>65.666666666666671</v>
      </c>
      <c r="S9" s="30">
        <v>54.813341169556274</v>
      </c>
      <c r="U9" s="43">
        <v>49.784257171325187</v>
      </c>
      <c r="V9" s="22">
        <f>IFERROR(VLOOKUP(A9,'Count of Providers as of Jan 18'!A:B,2,FALSE),0)</f>
        <v>3</v>
      </c>
      <c r="W9" s="42">
        <f t="shared" si="2"/>
        <v>5.0290839982310871</v>
      </c>
    </row>
    <row r="10" spans="1:23">
      <c r="A10" s="23" t="s">
        <v>49</v>
      </c>
      <c r="B10" s="24">
        <v>6831</v>
      </c>
      <c r="C10" s="24">
        <v>6871</v>
      </c>
      <c r="D10" s="24">
        <f>VLOOKUP(A10,'[3]2017'!$B:$I,8,FALSE)</f>
        <v>6588</v>
      </c>
      <c r="E10" s="25">
        <f t="shared" si="3"/>
        <v>6763.333333333333</v>
      </c>
      <c r="F10" s="26">
        <v>70</v>
      </c>
      <c r="G10" s="24">
        <v>49</v>
      </c>
      <c r="H10" s="24">
        <f>VLOOKUP(A10,'[3]2017'!$B:$D,3,FALSE)</f>
        <v>60</v>
      </c>
      <c r="I10" s="27">
        <f t="shared" si="4"/>
        <v>59.666666666666664</v>
      </c>
      <c r="J10" s="28" t="s">
        <v>50</v>
      </c>
      <c r="K10" s="29">
        <v>300409</v>
      </c>
      <c r="L10" s="29">
        <v>307889</v>
      </c>
      <c r="M10" s="29">
        <v>311125</v>
      </c>
      <c r="N10" s="29">
        <f t="shared" si="0"/>
        <v>306474.33333333331</v>
      </c>
      <c r="O10" s="24">
        <v>172</v>
      </c>
      <c r="P10" s="24">
        <v>106</v>
      </c>
      <c r="Q10" s="24">
        <v>135</v>
      </c>
      <c r="R10" s="27">
        <f t="shared" si="1"/>
        <v>137.66666666666666</v>
      </c>
      <c r="S10" s="30">
        <v>48.44332570556827</v>
      </c>
      <c r="T10" s="77" t="s">
        <v>258</v>
      </c>
      <c r="U10" s="43">
        <v>48.710388528170043</v>
      </c>
      <c r="V10" s="22">
        <f>IFERROR(VLOOKUP(A10,'Count of Providers as of Jan 18'!A:B,2,FALSE),0)</f>
        <v>15</v>
      </c>
      <c r="W10" s="42">
        <f t="shared" si="2"/>
        <v>-0.26706282260177261</v>
      </c>
    </row>
    <row r="11" spans="1:23">
      <c r="A11" s="23" t="s">
        <v>50</v>
      </c>
      <c r="B11" s="24" t="s">
        <v>51</v>
      </c>
      <c r="C11" s="24" t="s">
        <v>51</v>
      </c>
      <c r="D11" s="24">
        <f>VLOOKUP(A11,'[3]2017'!$B:$I,8,FALSE)</f>
        <v>0</v>
      </c>
      <c r="E11" s="25">
        <f t="shared" si="3"/>
        <v>0</v>
      </c>
      <c r="F11" s="26">
        <v>5</v>
      </c>
      <c r="G11" s="24" t="s">
        <v>51</v>
      </c>
      <c r="H11" s="24">
        <f>VLOOKUP(A11,'[3]2017'!$B:$D,3,FALSE)</f>
        <v>7</v>
      </c>
      <c r="I11" s="27">
        <f t="shared" si="4"/>
        <v>6</v>
      </c>
      <c r="J11" s="28" t="s">
        <v>52</v>
      </c>
      <c r="K11" s="29" t="s">
        <v>51</v>
      </c>
      <c r="L11" s="29" t="s">
        <v>51</v>
      </c>
      <c r="M11" s="29">
        <v>430705</v>
      </c>
      <c r="N11" s="29">
        <f t="shared" si="0"/>
        <v>430705</v>
      </c>
      <c r="O11" s="24">
        <v>6</v>
      </c>
      <c r="P11" s="24" t="s">
        <v>51</v>
      </c>
      <c r="Q11" s="24">
        <v>10</v>
      </c>
      <c r="R11" s="27">
        <f t="shared" si="1"/>
        <v>8</v>
      </c>
      <c r="S11" s="30">
        <v>48.44332570556827</v>
      </c>
      <c r="T11" s="77" t="s">
        <v>258</v>
      </c>
      <c r="U11" s="43">
        <v>49.78</v>
      </c>
      <c r="V11" s="22">
        <f>IFERROR(VLOOKUP(A11,'Count of Providers as of Jan 18'!A:B,2,FALSE),0)</f>
        <v>0</v>
      </c>
      <c r="W11" s="42">
        <f t="shared" si="2"/>
        <v>-1.3366742944317309</v>
      </c>
    </row>
    <row r="12" spans="1:23">
      <c r="A12" s="23" t="s">
        <v>52</v>
      </c>
      <c r="B12" s="24">
        <v>18678</v>
      </c>
      <c r="C12" s="24" t="s">
        <v>51</v>
      </c>
      <c r="D12" s="24">
        <f>VLOOKUP(A12,'[3]2017'!$B:$I,8,FALSE)</f>
        <v>21157</v>
      </c>
      <c r="E12" s="25">
        <f t="shared" si="3"/>
        <v>19917.5</v>
      </c>
      <c r="F12" s="26">
        <v>14</v>
      </c>
      <c r="G12" s="24">
        <v>9</v>
      </c>
      <c r="H12" s="24">
        <f>VLOOKUP(A12,'[3]2017'!$B:$D,3,FALSE)</f>
        <v>12</v>
      </c>
      <c r="I12" s="27">
        <f t="shared" si="4"/>
        <v>11.666666666666666</v>
      </c>
      <c r="J12" s="28" t="s">
        <v>53</v>
      </c>
      <c r="K12" s="29">
        <v>749346</v>
      </c>
      <c r="L12" s="29">
        <v>621084</v>
      </c>
      <c r="M12" s="29">
        <v>717511</v>
      </c>
      <c r="N12" s="29">
        <f t="shared" si="0"/>
        <v>695980.33333333337</v>
      </c>
      <c r="O12" s="24">
        <v>20</v>
      </c>
      <c r="P12" s="24">
        <v>13</v>
      </c>
      <c r="Q12" s="24">
        <v>20</v>
      </c>
      <c r="R12" s="27">
        <f t="shared" si="1"/>
        <v>17.666666666666668</v>
      </c>
      <c r="S12" s="30">
        <v>48.44332570556827</v>
      </c>
      <c r="U12" s="43">
        <v>35.926824212271974</v>
      </c>
      <c r="V12" s="22">
        <f>IFERROR(VLOOKUP(A12,'Count of Providers as of Jan 18'!A:B,2,FALSE),0)</f>
        <v>2</v>
      </c>
      <c r="W12" s="42">
        <f t="shared" si="2"/>
        <v>12.516501493296296</v>
      </c>
    </row>
    <row r="13" spans="1:23">
      <c r="A13" s="23" t="s">
        <v>53</v>
      </c>
      <c r="B13" s="24">
        <v>8039</v>
      </c>
      <c r="C13" s="24">
        <v>8580</v>
      </c>
      <c r="D13" s="24">
        <f>VLOOKUP(A13,'[3]2017'!$B:$I,8,FALSE)</f>
        <v>8382</v>
      </c>
      <c r="E13" s="25">
        <f t="shared" si="3"/>
        <v>8333.6666666666661</v>
      </c>
      <c r="F13" s="26">
        <v>193</v>
      </c>
      <c r="G13" s="24">
        <v>189</v>
      </c>
      <c r="H13" s="24">
        <f>VLOOKUP(A13,'[3]2017'!$B:$D,3,FALSE)</f>
        <v>275</v>
      </c>
      <c r="I13" s="27">
        <f t="shared" si="4"/>
        <v>219</v>
      </c>
      <c r="J13" s="28" t="s">
        <v>54</v>
      </c>
      <c r="K13" s="29">
        <v>269200</v>
      </c>
      <c r="L13" s="29">
        <v>265511</v>
      </c>
      <c r="M13" s="29">
        <v>275180</v>
      </c>
      <c r="N13" s="29">
        <f t="shared" si="0"/>
        <v>269963.66666666669</v>
      </c>
      <c r="O13" s="24">
        <v>523</v>
      </c>
      <c r="P13" s="24">
        <v>361</v>
      </c>
      <c r="Q13" s="24">
        <v>504</v>
      </c>
      <c r="R13" s="27">
        <f t="shared" si="1"/>
        <v>462.66666666666669</v>
      </c>
      <c r="S13" s="30">
        <v>33.492738464014167</v>
      </c>
      <c r="U13" s="43">
        <v>49.463542506855944</v>
      </c>
      <c r="V13" s="22">
        <f>IFERROR(VLOOKUP(A13,'Count of Providers as of Jan 18'!A:B,2,FALSE),0)</f>
        <v>41</v>
      </c>
      <c r="W13" s="42">
        <f t="shared" si="2"/>
        <v>-15.970804042841777</v>
      </c>
    </row>
    <row r="14" spans="1:23">
      <c r="A14" s="23" t="s">
        <v>54</v>
      </c>
      <c r="B14" s="24">
        <v>4036</v>
      </c>
      <c r="C14" s="24">
        <v>4121</v>
      </c>
      <c r="D14" s="24">
        <f>VLOOKUP(A14,'[3]2017'!$B:$I,8,FALSE)</f>
        <v>4103</v>
      </c>
      <c r="E14" s="25">
        <f t="shared" si="3"/>
        <v>4086.6666666666665</v>
      </c>
      <c r="F14" s="26">
        <v>69</v>
      </c>
      <c r="G14" s="24">
        <v>63</v>
      </c>
      <c r="H14" s="24">
        <f>VLOOKUP(A14,'[3]2017'!$B:$D,3,FALSE)</f>
        <v>51</v>
      </c>
      <c r="I14" s="27">
        <f t="shared" si="4"/>
        <v>61</v>
      </c>
      <c r="J14" s="28" t="s">
        <v>55</v>
      </c>
      <c r="K14" s="29">
        <v>192301</v>
      </c>
      <c r="L14" s="29">
        <v>193123</v>
      </c>
      <c r="M14" s="29">
        <v>197819</v>
      </c>
      <c r="N14" s="29">
        <f t="shared" si="0"/>
        <v>194414.33333333334</v>
      </c>
      <c r="O14" s="24">
        <v>228</v>
      </c>
      <c r="P14" s="24">
        <v>168</v>
      </c>
      <c r="Q14" s="24">
        <v>181</v>
      </c>
      <c r="R14" s="27">
        <f t="shared" si="1"/>
        <v>192.33333333333334</v>
      </c>
      <c r="S14" s="30">
        <v>48.949585971748661</v>
      </c>
      <c r="U14" s="43">
        <v>39.849201806271068</v>
      </c>
      <c r="V14" s="22">
        <f>IFERROR(VLOOKUP(A14,'Count of Providers as of Jan 18'!A:B,2,FALSE),0)</f>
        <v>14</v>
      </c>
      <c r="W14" s="42">
        <f t="shared" si="2"/>
        <v>9.1003841654775925</v>
      </c>
    </row>
    <row r="15" spans="1:23">
      <c r="A15" s="23" t="s">
        <v>55</v>
      </c>
      <c r="B15" s="24">
        <v>5430</v>
      </c>
      <c r="C15" s="24">
        <v>4601</v>
      </c>
      <c r="D15" s="24">
        <f>VLOOKUP(A15,'[3]2017'!$B:$I,8,FALSE)</f>
        <v>5343</v>
      </c>
      <c r="E15" s="25">
        <f t="shared" si="3"/>
        <v>5124.666666666667</v>
      </c>
      <c r="F15" s="26">
        <v>47</v>
      </c>
      <c r="G15" s="24">
        <v>21</v>
      </c>
      <c r="H15" s="24">
        <f>VLOOKUP(A15,'[3]2017'!$B:$D,3,FALSE)</f>
        <v>71</v>
      </c>
      <c r="I15" s="27">
        <f t="shared" si="4"/>
        <v>46.333333333333336</v>
      </c>
      <c r="J15" s="28" t="s">
        <v>56</v>
      </c>
      <c r="K15" s="29">
        <v>192717</v>
      </c>
      <c r="L15" s="29">
        <v>195431</v>
      </c>
      <c r="M15" s="29">
        <v>193360</v>
      </c>
      <c r="N15" s="29">
        <f t="shared" si="0"/>
        <v>193836</v>
      </c>
      <c r="O15" s="24">
        <v>113</v>
      </c>
      <c r="P15" s="24">
        <v>56</v>
      </c>
      <c r="Q15" s="24">
        <v>131</v>
      </c>
      <c r="R15" s="27">
        <f t="shared" si="1"/>
        <v>100</v>
      </c>
      <c r="S15" s="30">
        <v>39.409777138749106</v>
      </c>
      <c r="U15" s="43">
        <v>42.074456061034191</v>
      </c>
      <c r="V15" s="22">
        <f>IFERROR(VLOOKUP(A15,'Count of Providers as of Jan 18'!A:B,2,FALSE),0)</f>
        <v>9</v>
      </c>
      <c r="W15" s="42">
        <f t="shared" si="2"/>
        <v>-2.6646789222850842</v>
      </c>
    </row>
    <row r="16" spans="1:23">
      <c r="A16" s="23" t="s">
        <v>56</v>
      </c>
      <c r="B16" s="24">
        <v>4282</v>
      </c>
      <c r="C16" s="24">
        <v>4930</v>
      </c>
      <c r="D16" s="24">
        <f>VLOOKUP(A16,'[3]2017'!$B:$I,8,FALSE)</f>
        <v>4770</v>
      </c>
      <c r="E16" s="25">
        <f t="shared" si="3"/>
        <v>4660.666666666667</v>
      </c>
      <c r="F16" s="26">
        <v>98</v>
      </c>
      <c r="G16" s="24">
        <v>87</v>
      </c>
      <c r="H16" s="24">
        <f>VLOOKUP(A16,'[3]2017'!$B:$D,3,FALSE)</f>
        <v>152</v>
      </c>
      <c r="I16" s="27">
        <f t="shared" si="4"/>
        <v>112.33333333333333</v>
      </c>
      <c r="J16" s="28" t="s">
        <v>57</v>
      </c>
      <c r="K16" s="29">
        <v>188091</v>
      </c>
      <c r="L16" s="29">
        <v>184409</v>
      </c>
      <c r="M16" s="29">
        <v>182776</v>
      </c>
      <c r="N16" s="29">
        <f t="shared" si="0"/>
        <v>185092</v>
      </c>
      <c r="O16" s="24">
        <v>334</v>
      </c>
      <c r="P16" s="24">
        <v>184</v>
      </c>
      <c r="Q16" s="24">
        <v>300</v>
      </c>
      <c r="R16" s="27">
        <f t="shared" si="1"/>
        <v>272.66666666666669</v>
      </c>
      <c r="S16" s="30">
        <v>38.37639348692656</v>
      </c>
      <c r="U16" s="43">
        <v>50.603953468031136</v>
      </c>
      <c r="V16" s="22">
        <f>IFERROR(VLOOKUP(A16,'Count of Providers as of Jan 18'!A:B,2,FALSE),0)</f>
        <v>49</v>
      </c>
      <c r="W16" s="42">
        <f t="shared" si="2"/>
        <v>-12.227559981104577</v>
      </c>
    </row>
    <row r="17" spans="1:23">
      <c r="A17" s="23" t="s">
        <v>57</v>
      </c>
      <c r="B17" s="24" t="s">
        <v>51</v>
      </c>
      <c r="C17" s="24">
        <v>4531</v>
      </c>
      <c r="D17" s="24">
        <f>VLOOKUP(A17,'[3]2017'!$B:$I,8,FALSE)</f>
        <v>0</v>
      </c>
      <c r="E17" s="25">
        <f t="shared" si="3"/>
        <v>2265.5</v>
      </c>
      <c r="F17" s="24" t="s">
        <v>51</v>
      </c>
      <c r="G17" s="24">
        <v>11</v>
      </c>
      <c r="H17" s="24">
        <f>VLOOKUP(A17,'[3]2017'!$B:$D,3,FALSE)</f>
        <v>9</v>
      </c>
      <c r="I17" s="27">
        <f t="shared" si="4"/>
        <v>10</v>
      </c>
      <c r="J17" s="28" t="s">
        <v>58</v>
      </c>
      <c r="K17" s="29" t="s">
        <v>51</v>
      </c>
      <c r="L17" s="29">
        <v>163097</v>
      </c>
      <c r="M17" s="29">
        <v>158681</v>
      </c>
      <c r="N17" s="29">
        <f t="shared" si="0"/>
        <v>160889</v>
      </c>
      <c r="O17" s="24">
        <v>9</v>
      </c>
      <c r="P17" s="24">
        <v>13</v>
      </c>
      <c r="Q17" s="24">
        <v>12</v>
      </c>
      <c r="R17" s="27">
        <f t="shared" si="1"/>
        <v>11.333333333333334</v>
      </c>
      <c r="S17" s="30">
        <v>38.37639348692656</v>
      </c>
      <c r="T17" s="77" t="s">
        <v>258</v>
      </c>
      <c r="U17" s="43">
        <v>43.34</v>
      </c>
      <c r="V17" s="22">
        <f>IFERROR(VLOOKUP(A17,'Count of Providers as of Jan 18'!A:B,2,FALSE),0)</f>
        <v>0</v>
      </c>
      <c r="W17" s="42">
        <f t="shared" si="2"/>
        <v>-4.9636065130734437</v>
      </c>
    </row>
    <row r="18" spans="1:23">
      <c r="A18" s="23" t="s">
        <v>58</v>
      </c>
      <c r="B18" s="24">
        <v>4560</v>
      </c>
      <c r="C18" s="24">
        <v>4187</v>
      </c>
      <c r="D18" s="24">
        <f>VLOOKUP(A18,'[3]2017'!$B:$I,8,FALSE)</f>
        <v>5543</v>
      </c>
      <c r="E18" s="25">
        <f t="shared" si="3"/>
        <v>4763.333333333333</v>
      </c>
      <c r="F18" s="26">
        <v>12</v>
      </c>
      <c r="G18" s="24">
        <v>13</v>
      </c>
      <c r="H18" s="24">
        <f>VLOOKUP(A18,'[3]2017'!$B:$D,3,FALSE)</f>
        <v>14</v>
      </c>
      <c r="I18" s="27">
        <f t="shared" si="4"/>
        <v>13</v>
      </c>
      <c r="J18" s="28" t="s">
        <v>59</v>
      </c>
      <c r="K18" s="29">
        <v>184207</v>
      </c>
      <c r="L18" s="29">
        <v>185792</v>
      </c>
      <c r="M18" s="29">
        <v>184397</v>
      </c>
      <c r="N18" s="29">
        <f t="shared" si="0"/>
        <v>184798.66666666666</v>
      </c>
      <c r="O18" s="24">
        <v>22</v>
      </c>
      <c r="P18" s="24">
        <v>17</v>
      </c>
      <c r="Q18" s="24">
        <v>27</v>
      </c>
      <c r="R18" s="27">
        <f t="shared" si="1"/>
        <v>22</v>
      </c>
      <c r="S18" s="30">
        <v>38.37639348692656</v>
      </c>
      <c r="U18" s="43">
        <v>45.092433039895113</v>
      </c>
      <c r="V18" s="22">
        <f>IFERROR(VLOOKUP(A18,'Count of Providers as of Jan 18'!A:B,2,FALSE),0)</f>
        <v>2</v>
      </c>
      <c r="W18" s="42">
        <f t="shared" si="2"/>
        <v>-6.716039552968553</v>
      </c>
    </row>
    <row r="19" spans="1:23">
      <c r="A19" s="23" t="s">
        <v>59</v>
      </c>
      <c r="B19" s="24">
        <v>6445</v>
      </c>
      <c r="C19" s="24">
        <v>6653</v>
      </c>
      <c r="D19" s="24">
        <f>VLOOKUP(A19,'[3]2017'!$B:$I,8,FALSE)</f>
        <v>7920</v>
      </c>
      <c r="E19" s="25">
        <f t="shared" si="3"/>
        <v>7006</v>
      </c>
      <c r="F19" s="26">
        <v>145</v>
      </c>
      <c r="G19" s="24">
        <v>96</v>
      </c>
      <c r="H19" s="24">
        <f>VLOOKUP(A19,'[3]2017'!$B:$D,3,FALSE)</f>
        <v>120</v>
      </c>
      <c r="I19" s="27">
        <f t="shared" si="4"/>
        <v>120.33333333333333</v>
      </c>
      <c r="J19" s="28" t="s">
        <v>60</v>
      </c>
      <c r="K19" s="29">
        <v>300000</v>
      </c>
      <c r="L19" s="29">
        <v>282574</v>
      </c>
      <c r="M19" s="29">
        <v>324950</v>
      </c>
      <c r="N19" s="29">
        <f t="shared" si="0"/>
        <v>302508</v>
      </c>
      <c r="O19" s="24">
        <v>317</v>
      </c>
      <c r="P19" s="24">
        <v>226</v>
      </c>
      <c r="Q19" s="24">
        <v>246</v>
      </c>
      <c r="R19" s="27">
        <f t="shared" si="1"/>
        <v>263</v>
      </c>
      <c r="S19" s="30">
        <v>43.242008062248054</v>
      </c>
      <c r="U19" s="43">
        <v>71.054285372276752</v>
      </c>
      <c r="V19" s="22">
        <f>IFERROR(VLOOKUP(A19,'Count of Providers as of Jan 18'!A:B,2,FALSE),0)</f>
        <v>26</v>
      </c>
      <c r="W19" s="42">
        <f t="shared" si="2"/>
        <v>-27.812277310028698</v>
      </c>
    </row>
    <row r="20" spans="1:23">
      <c r="A20" s="23" t="s">
        <v>60</v>
      </c>
      <c r="B20" s="24">
        <v>4756</v>
      </c>
      <c r="C20" s="24">
        <v>6894</v>
      </c>
      <c r="D20" s="24">
        <f>VLOOKUP(A20,'[3]2017'!$B:$I,8,FALSE)</f>
        <v>5433</v>
      </c>
      <c r="E20" s="25">
        <f t="shared" si="3"/>
        <v>5694.333333333333</v>
      </c>
      <c r="F20" s="26">
        <v>26</v>
      </c>
      <c r="G20" s="24">
        <v>19</v>
      </c>
      <c r="H20" s="24">
        <f>VLOOKUP(A20,'[3]2017'!$B:$D,3,FALSE)</f>
        <v>13</v>
      </c>
      <c r="I20" s="27">
        <f t="shared" si="4"/>
        <v>19.333333333333332</v>
      </c>
      <c r="J20" s="28" t="s">
        <v>61</v>
      </c>
      <c r="K20" s="29">
        <v>284385</v>
      </c>
      <c r="L20" s="29">
        <v>324456</v>
      </c>
      <c r="M20" s="29">
        <v>327159</v>
      </c>
      <c r="N20" s="29">
        <f t="shared" si="0"/>
        <v>312000</v>
      </c>
      <c r="O20" s="24">
        <v>70</v>
      </c>
      <c r="P20" s="24">
        <v>52</v>
      </c>
      <c r="Q20" s="24">
        <v>60</v>
      </c>
      <c r="R20" s="27">
        <f t="shared" si="1"/>
        <v>60.666666666666664</v>
      </c>
      <c r="S20" s="30">
        <v>68.29835651074589</v>
      </c>
      <c r="T20" s="24" t="s">
        <v>258</v>
      </c>
      <c r="U20" s="43">
        <v>105.09753872282609</v>
      </c>
      <c r="V20" s="22">
        <f>IFERROR(VLOOKUP(A20,'Count of Providers as of Jan 18'!A:B,2,FALSE),0)</f>
        <v>5</v>
      </c>
      <c r="W20" s="42">
        <f t="shared" si="2"/>
        <v>-36.799182212080197</v>
      </c>
    </row>
    <row r="21" spans="1:23">
      <c r="A21" s="23" t="s">
        <v>61</v>
      </c>
      <c r="B21" s="24" t="s">
        <v>51</v>
      </c>
      <c r="C21" s="24" t="s">
        <v>62</v>
      </c>
      <c r="D21" s="24">
        <f>VLOOKUP(A21,'[3]2017'!$B:$I,8,FALSE)</f>
        <v>0</v>
      </c>
      <c r="E21" s="25">
        <f t="shared" si="3"/>
        <v>0</v>
      </c>
      <c r="F21" s="26">
        <v>4</v>
      </c>
      <c r="G21" s="24" t="s">
        <v>51</v>
      </c>
      <c r="H21" s="24">
        <f>VLOOKUP(A21,'[3]2017'!$B:$D,3,FALSE)</f>
        <v>3</v>
      </c>
      <c r="I21" s="27">
        <f t="shared" si="4"/>
        <v>3.5</v>
      </c>
      <c r="J21" s="28" t="s">
        <v>63</v>
      </c>
      <c r="K21" s="29">
        <v>184313</v>
      </c>
      <c r="L21" s="29" t="s">
        <v>51</v>
      </c>
      <c r="M21" s="29">
        <v>170464</v>
      </c>
      <c r="N21" s="29">
        <f t="shared" si="0"/>
        <v>177388.5</v>
      </c>
      <c r="O21" s="24">
        <v>21</v>
      </c>
      <c r="P21" s="24">
        <v>8</v>
      </c>
      <c r="Q21" s="24">
        <v>16</v>
      </c>
      <c r="R21" s="27">
        <f t="shared" si="1"/>
        <v>15</v>
      </c>
      <c r="S21" s="30">
        <v>0</v>
      </c>
      <c r="U21" s="43">
        <v>46.143169133705413</v>
      </c>
      <c r="V21" s="22">
        <f>IFERROR(VLOOKUP(A21,'Count of Providers as of Jan 18'!A:B,2,FALSE),0)</f>
        <v>0</v>
      </c>
      <c r="W21" s="42">
        <f t="shared" si="2"/>
        <v>-46.143169133705413</v>
      </c>
    </row>
    <row r="22" spans="1:23">
      <c r="A22" s="23" t="s">
        <v>63</v>
      </c>
      <c r="B22" s="24">
        <v>3707</v>
      </c>
      <c r="C22" s="24">
        <v>4239</v>
      </c>
      <c r="D22" s="24">
        <f>VLOOKUP(A22,'[3]2017'!$B:$I,8,FALSE)</f>
        <v>4584</v>
      </c>
      <c r="E22" s="25">
        <f t="shared" si="3"/>
        <v>4176.666666666667</v>
      </c>
      <c r="F22" s="26">
        <v>39</v>
      </c>
      <c r="G22" s="24">
        <v>46</v>
      </c>
      <c r="H22" s="24">
        <f>VLOOKUP(A22,'[3]2017'!$B:$D,3,FALSE)</f>
        <v>35</v>
      </c>
      <c r="I22" s="27">
        <f t="shared" si="4"/>
        <v>40</v>
      </c>
      <c r="J22" s="28" t="s">
        <v>64</v>
      </c>
      <c r="K22" s="29">
        <v>184400</v>
      </c>
      <c r="L22" s="29">
        <v>173814</v>
      </c>
      <c r="M22" s="29">
        <v>181932</v>
      </c>
      <c r="N22" s="29">
        <f t="shared" si="0"/>
        <v>180048.66666666666</v>
      </c>
      <c r="O22" s="24">
        <v>131</v>
      </c>
      <c r="P22" s="24">
        <v>86</v>
      </c>
      <c r="Q22" s="24">
        <v>80</v>
      </c>
      <c r="R22" s="27">
        <f t="shared" si="1"/>
        <v>99</v>
      </c>
      <c r="S22" s="30">
        <v>42.332515901601653</v>
      </c>
      <c r="U22" s="43">
        <v>58.929033100476595</v>
      </c>
      <c r="V22" s="22">
        <f>IFERROR(VLOOKUP(A22,'Count of Providers as of Jan 18'!A:B,2,FALSE),0)</f>
        <v>11</v>
      </c>
      <c r="W22" s="42">
        <f t="shared" si="2"/>
        <v>-16.596517198874942</v>
      </c>
    </row>
    <row r="23" spans="1:23">
      <c r="A23" s="23" t="s">
        <v>64</v>
      </c>
      <c r="B23" s="24">
        <v>5292</v>
      </c>
      <c r="C23" s="24">
        <v>4889</v>
      </c>
      <c r="D23" s="24">
        <f>VLOOKUP(A23,'[3]2017'!$B:$I,8,FALSE)</f>
        <v>5771</v>
      </c>
      <c r="E23" s="25">
        <f t="shared" si="3"/>
        <v>5317.333333333333</v>
      </c>
      <c r="F23" s="26">
        <v>145</v>
      </c>
      <c r="G23" s="24">
        <v>132</v>
      </c>
      <c r="H23" s="24">
        <f>VLOOKUP(A23,'[3]2017'!$B:$D,3,FALSE)</f>
        <v>140</v>
      </c>
      <c r="I23" s="27">
        <f t="shared" si="4"/>
        <v>139</v>
      </c>
      <c r="J23" s="28" t="s">
        <v>65</v>
      </c>
      <c r="K23" s="29">
        <v>258845</v>
      </c>
      <c r="L23" s="29">
        <v>267326</v>
      </c>
      <c r="M23" s="29">
        <v>290111</v>
      </c>
      <c r="N23" s="29">
        <f t="shared" si="0"/>
        <v>272094</v>
      </c>
      <c r="O23" s="24">
        <v>390</v>
      </c>
      <c r="P23" s="24">
        <v>276</v>
      </c>
      <c r="Q23" s="24">
        <v>360</v>
      </c>
      <c r="R23" s="27">
        <f t="shared" si="1"/>
        <v>342</v>
      </c>
      <c r="S23" s="30">
        <v>55.874173027989826</v>
      </c>
      <c r="U23" s="43">
        <v>52.671633438265133</v>
      </c>
      <c r="V23" s="22">
        <f>IFERROR(VLOOKUP(A23,'Count of Providers as of Jan 18'!A:B,2,FALSE),0)</f>
        <v>52</v>
      </c>
      <c r="W23" s="42">
        <f t="shared" si="2"/>
        <v>3.2025395897246938</v>
      </c>
    </row>
    <row r="24" spans="1:23">
      <c r="A24" s="23" t="s">
        <v>65</v>
      </c>
      <c r="B24" s="24">
        <v>5028</v>
      </c>
      <c r="C24" s="24">
        <v>4515</v>
      </c>
      <c r="D24" s="24">
        <f>VLOOKUP(A24,'[3]2017'!$B:$I,8,FALSE)</f>
        <v>5188</v>
      </c>
      <c r="E24" s="25">
        <f t="shared" si="3"/>
        <v>4910.333333333333</v>
      </c>
      <c r="F24" s="26">
        <v>68</v>
      </c>
      <c r="G24" s="24">
        <v>27</v>
      </c>
      <c r="H24" s="24">
        <f>VLOOKUP(A24,'[3]2017'!$B:$D,3,FALSE)</f>
        <v>37</v>
      </c>
      <c r="I24" s="27">
        <f t="shared" si="4"/>
        <v>44</v>
      </c>
      <c r="J24" s="28" t="s">
        <v>66</v>
      </c>
      <c r="K24" s="29">
        <v>261539</v>
      </c>
      <c r="L24" s="29">
        <v>236790</v>
      </c>
      <c r="M24" s="29">
        <v>239368</v>
      </c>
      <c r="N24" s="29">
        <f t="shared" si="0"/>
        <v>245899</v>
      </c>
      <c r="O24" s="24">
        <v>184</v>
      </c>
      <c r="P24" s="24">
        <v>142</v>
      </c>
      <c r="Q24" s="24">
        <v>131</v>
      </c>
      <c r="R24" s="27">
        <f t="shared" si="1"/>
        <v>152.33333333333334</v>
      </c>
      <c r="S24" s="30">
        <v>50.275615458671439</v>
      </c>
      <c r="T24" s="77" t="s">
        <v>258</v>
      </c>
      <c r="U24" s="43">
        <v>86.727322828282837</v>
      </c>
      <c r="V24" s="22">
        <f>IFERROR(VLOOKUP(A24,'Count of Providers as of Jan 18'!A:B,2,FALSE),0)</f>
        <v>0</v>
      </c>
      <c r="W24" s="42">
        <f t="shared" si="2"/>
        <v>-36.451707369611398</v>
      </c>
    </row>
    <row r="25" spans="1:23">
      <c r="A25" s="23" t="s">
        <v>66</v>
      </c>
      <c r="B25" s="24" t="s">
        <v>51</v>
      </c>
      <c r="C25" s="24">
        <v>2551</v>
      </c>
      <c r="D25" s="24">
        <f>VLOOKUP(A25,'[3]2017'!$B:$I,8,FALSE)</f>
        <v>0</v>
      </c>
      <c r="E25" s="25">
        <f t="shared" si="3"/>
        <v>1275.5</v>
      </c>
      <c r="F25" s="26">
        <v>9</v>
      </c>
      <c r="G25" s="24">
        <v>15</v>
      </c>
      <c r="H25" s="24">
        <f>VLOOKUP(A25,'[3]2017'!$B:$D,3,FALSE)</f>
        <v>7</v>
      </c>
      <c r="I25" s="27">
        <f t="shared" si="4"/>
        <v>10.333333333333334</v>
      </c>
      <c r="J25" s="28" t="s">
        <v>264</v>
      </c>
      <c r="K25" s="29" t="s">
        <v>51</v>
      </c>
      <c r="L25" s="29">
        <v>161150</v>
      </c>
      <c r="M25" s="29">
        <v>197418</v>
      </c>
      <c r="N25" s="29">
        <f t="shared" si="0"/>
        <v>179284</v>
      </c>
      <c r="O25" s="24">
        <v>11</v>
      </c>
      <c r="P25" s="24">
        <v>20</v>
      </c>
      <c r="Q25" s="24">
        <v>24</v>
      </c>
      <c r="R25" s="27">
        <f t="shared" si="1"/>
        <v>18.333333333333332</v>
      </c>
      <c r="S25" s="30">
        <v>0</v>
      </c>
      <c r="T25" s="77"/>
      <c r="U25" s="43">
        <v>71.271864808775575</v>
      </c>
      <c r="V25" s="22">
        <f>IFERROR(VLOOKUP(A25,'Count of Providers as of Jan 18'!A:B,2,FALSE),0)</f>
        <v>0</v>
      </c>
      <c r="W25" s="42">
        <f t="shared" si="2"/>
        <v>-71.271864808775575</v>
      </c>
    </row>
    <row r="26" spans="1:23">
      <c r="A26" s="23" t="s">
        <v>67</v>
      </c>
      <c r="B26" s="24">
        <v>3591</v>
      </c>
      <c r="C26" s="24">
        <v>4406</v>
      </c>
      <c r="D26" s="24">
        <f>VLOOKUP(A26,'[3]2017'!$B:$I,8,FALSE)</f>
        <v>3755</v>
      </c>
      <c r="E26" s="25">
        <f t="shared" si="3"/>
        <v>3917.3333333333335</v>
      </c>
      <c r="F26" s="26">
        <v>188</v>
      </c>
      <c r="G26" s="24">
        <v>157</v>
      </c>
      <c r="H26" s="24">
        <f>VLOOKUP(A26,'[3]2017'!$B:$D,3,FALSE)</f>
        <v>178</v>
      </c>
      <c r="I26" s="27">
        <f t="shared" si="4"/>
        <v>174.33333333333334</v>
      </c>
      <c r="J26" s="28" t="s">
        <v>67</v>
      </c>
      <c r="K26" s="29">
        <v>200000</v>
      </c>
      <c r="L26" s="29">
        <v>209286</v>
      </c>
      <c r="M26" s="29">
        <v>214417</v>
      </c>
      <c r="N26" s="29">
        <f t="shared" si="0"/>
        <v>207901</v>
      </c>
      <c r="O26" s="24">
        <v>399</v>
      </c>
      <c r="P26" s="24">
        <v>315</v>
      </c>
      <c r="Q26" s="24">
        <v>369</v>
      </c>
      <c r="R26" s="27">
        <f t="shared" si="1"/>
        <v>361</v>
      </c>
      <c r="S26" s="30">
        <v>55.608145106091719</v>
      </c>
      <c r="U26" s="43">
        <v>61.766183396435501</v>
      </c>
      <c r="V26" s="22">
        <f>IFERROR(VLOOKUP(A26,'Count of Providers as of Jan 18'!A:B,2,FALSE),0)</f>
        <v>37</v>
      </c>
      <c r="W26" s="42">
        <f t="shared" si="2"/>
        <v>-6.1580382903437823</v>
      </c>
    </row>
    <row r="27" spans="1:23">
      <c r="A27" s="23" t="s">
        <v>68</v>
      </c>
      <c r="B27" s="24">
        <v>3822</v>
      </c>
      <c r="C27" s="24">
        <v>4567</v>
      </c>
      <c r="D27" s="24">
        <f>VLOOKUP(A27,'[3]2017'!$B:$I,8,FALSE)</f>
        <v>3777</v>
      </c>
      <c r="E27" s="25">
        <f t="shared" si="3"/>
        <v>4055.3333333333335</v>
      </c>
      <c r="F27" s="26">
        <v>73</v>
      </c>
      <c r="G27" s="24">
        <v>60</v>
      </c>
      <c r="H27" s="24">
        <f>VLOOKUP(A27,'[3]2017'!$B:$D,3,FALSE)</f>
        <v>79</v>
      </c>
      <c r="I27" s="27">
        <f t="shared" si="4"/>
        <v>70.666666666666671</v>
      </c>
      <c r="J27" s="28" t="s">
        <v>276</v>
      </c>
      <c r="K27" s="29"/>
      <c r="L27" s="29"/>
      <c r="M27" s="29"/>
      <c r="N27" s="29"/>
      <c r="O27" s="24"/>
      <c r="P27" s="24"/>
      <c r="Q27" s="24"/>
      <c r="R27" s="27"/>
      <c r="S27" s="30"/>
      <c r="T27" s="77" t="s">
        <v>258</v>
      </c>
      <c r="U27" s="43">
        <v>88.896599128899368</v>
      </c>
      <c r="W27" s="42"/>
    </row>
    <row r="28" spans="1:23">
      <c r="A28" s="23" t="s">
        <v>69</v>
      </c>
      <c r="B28" s="24" t="s">
        <v>51</v>
      </c>
      <c r="C28" s="24" t="s">
        <v>51</v>
      </c>
      <c r="D28" s="24">
        <f>VLOOKUP(A28,'[3]2017'!$B:$I,8,FALSE)</f>
        <v>4621</v>
      </c>
      <c r="E28" s="25">
        <f t="shared" si="3"/>
        <v>4621</v>
      </c>
      <c r="F28" s="24" t="s">
        <v>51</v>
      </c>
      <c r="G28" s="24">
        <v>1</v>
      </c>
      <c r="H28" s="24">
        <f>VLOOKUP(A28,'[3]2017'!$B:$D,3,FALSE)</f>
        <v>26</v>
      </c>
      <c r="I28" s="27">
        <f t="shared" si="4"/>
        <v>13.5</v>
      </c>
      <c r="J28" s="28" t="s">
        <v>68</v>
      </c>
      <c r="K28" s="29"/>
      <c r="L28" s="29"/>
      <c r="M28" s="29"/>
      <c r="N28" s="29"/>
      <c r="O28" s="24"/>
      <c r="P28" s="24"/>
      <c r="Q28" s="24"/>
      <c r="R28" s="27"/>
      <c r="S28" s="30"/>
      <c r="T28" s="77"/>
      <c r="U28" s="43">
        <v>52.612781954887218</v>
      </c>
      <c r="W28" s="42"/>
    </row>
    <row r="29" spans="1:23">
      <c r="A29" s="23" t="s">
        <v>70</v>
      </c>
      <c r="B29" s="24">
        <v>3822</v>
      </c>
      <c r="C29" s="24">
        <v>3959</v>
      </c>
      <c r="D29" s="24">
        <f>VLOOKUP(A29,'[3]2017'!$B:$I,8,FALSE)</f>
        <v>4149</v>
      </c>
      <c r="E29" s="25">
        <f t="shared" si="3"/>
        <v>3976.6666666666665</v>
      </c>
      <c r="F29" s="26">
        <v>440</v>
      </c>
      <c r="G29" s="24">
        <v>228</v>
      </c>
      <c r="H29" s="24">
        <f>VLOOKUP(A29,'[3]2017'!$B:$D,3,FALSE)</f>
        <v>264</v>
      </c>
      <c r="I29" s="27">
        <f t="shared" si="4"/>
        <v>310.66666666666669</v>
      </c>
      <c r="J29" s="28" t="s">
        <v>69</v>
      </c>
      <c r="K29" s="29">
        <v>180338</v>
      </c>
      <c r="L29" s="29">
        <v>183420</v>
      </c>
      <c r="M29" s="29">
        <v>175267</v>
      </c>
      <c r="N29" s="29">
        <f t="shared" si="0"/>
        <v>179675</v>
      </c>
      <c r="O29" s="24">
        <v>281</v>
      </c>
      <c r="P29" s="24">
        <v>207</v>
      </c>
      <c r="Q29" s="24">
        <v>277</v>
      </c>
      <c r="R29" s="27">
        <f t="shared" si="1"/>
        <v>255</v>
      </c>
      <c r="S29" s="30">
        <v>47.664369400413506</v>
      </c>
      <c r="U29" s="43">
        <v>46.74619848674061</v>
      </c>
      <c r="V29" s="22">
        <f>IFERROR(VLOOKUP(A27,'Count of Providers as of Jan 18'!A:B,2,FALSE),0)</f>
        <v>32</v>
      </c>
      <c r="W29" s="42">
        <f t="shared" si="2"/>
        <v>0.91817091367289549</v>
      </c>
    </row>
    <row r="30" spans="1:23">
      <c r="A30" s="23" t="s">
        <v>71</v>
      </c>
      <c r="B30" s="24">
        <v>6414</v>
      </c>
      <c r="C30" s="24">
        <v>6473</v>
      </c>
      <c r="D30" s="24">
        <f>VLOOKUP(A30,'[3]2017'!$B:$I,8,FALSE)</f>
        <v>7082</v>
      </c>
      <c r="E30" s="25">
        <f t="shared" si="3"/>
        <v>6656.333333333333</v>
      </c>
      <c r="F30" s="26">
        <v>90</v>
      </c>
      <c r="G30" s="24">
        <v>67</v>
      </c>
      <c r="H30" s="24">
        <f>VLOOKUP(A30,'[3]2017'!$B:$D,3,FALSE)</f>
        <v>90</v>
      </c>
      <c r="I30" s="27">
        <f t="shared" si="4"/>
        <v>82.333333333333329</v>
      </c>
      <c r="J30" s="28" t="s">
        <v>70</v>
      </c>
      <c r="K30" s="29" t="s">
        <v>51</v>
      </c>
      <c r="L30" s="29" t="s">
        <v>51</v>
      </c>
      <c r="M30" s="29">
        <v>204800</v>
      </c>
      <c r="N30" s="29">
        <f t="shared" si="0"/>
        <v>204800</v>
      </c>
      <c r="O30" s="24">
        <v>11</v>
      </c>
      <c r="P30" s="24">
        <v>5</v>
      </c>
      <c r="Q30" s="24">
        <v>33</v>
      </c>
      <c r="R30" s="27">
        <f t="shared" si="1"/>
        <v>16.333333333333332</v>
      </c>
      <c r="S30" s="30">
        <v>45.272547652254765</v>
      </c>
      <c r="U30" s="43">
        <v>52.351845854922281</v>
      </c>
      <c r="V30" s="22">
        <f>IFERROR(VLOOKUP(A28,'Count of Providers as of Jan 18'!A:B,2,FALSE),0)</f>
        <v>0</v>
      </c>
      <c r="W30" s="42">
        <f t="shared" si="2"/>
        <v>-7.0792982026675162</v>
      </c>
    </row>
    <row r="31" spans="1:23">
      <c r="A31" s="23" t="s">
        <v>72</v>
      </c>
      <c r="B31" s="24">
        <v>4416</v>
      </c>
      <c r="C31" s="24">
        <v>4338</v>
      </c>
      <c r="D31" s="24">
        <f>VLOOKUP(A31,'[3]2017'!$B:$I,8,FALSE)</f>
        <v>4079</v>
      </c>
      <c r="E31" s="25">
        <f t="shared" si="3"/>
        <v>4277.666666666667</v>
      </c>
      <c r="F31" s="26">
        <v>172</v>
      </c>
      <c r="G31" s="24">
        <v>146</v>
      </c>
      <c r="H31" s="24">
        <f>VLOOKUP(A31,'[3]2017'!$B:$D,3,FALSE)</f>
        <v>216</v>
      </c>
      <c r="I31" s="27">
        <f t="shared" si="4"/>
        <v>178</v>
      </c>
      <c r="J31" s="28" t="s">
        <v>71</v>
      </c>
      <c r="K31" s="29">
        <v>193530</v>
      </c>
      <c r="L31" s="29">
        <v>191372</v>
      </c>
      <c r="M31" s="29">
        <v>202024</v>
      </c>
      <c r="N31" s="29">
        <f t="shared" si="0"/>
        <v>195642</v>
      </c>
      <c r="O31" s="24">
        <v>1061</v>
      </c>
      <c r="P31" s="24">
        <v>511</v>
      </c>
      <c r="Q31" s="24">
        <v>584</v>
      </c>
      <c r="R31" s="27">
        <f t="shared" si="1"/>
        <v>718.66666666666663</v>
      </c>
      <c r="S31" s="30">
        <v>50.842888688967037</v>
      </c>
      <c r="U31" s="43">
        <v>35.664656890296868</v>
      </c>
      <c r="V31" s="22">
        <f>IFERROR(VLOOKUP(A29,'Count of Providers as of Jan 18'!A:B,2,FALSE),0)</f>
        <v>28</v>
      </c>
      <c r="W31" s="42">
        <f t="shared" si="2"/>
        <v>15.178231798670168</v>
      </c>
    </row>
    <row r="32" spans="1:23">
      <c r="A32" s="23" t="s">
        <v>73</v>
      </c>
      <c r="B32" s="24">
        <v>6150</v>
      </c>
      <c r="C32" s="24">
        <v>7281</v>
      </c>
      <c r="D32" s="24">
        <f>VLOOKUP(A32,'[3]2017'!$B:$I,8,FALSE)</f>
        <v>6532</v>
      </c>
      <c r="E32" s="25">
        <f t="shared" si="3"/>
        <v>6654.333333333333</v>
      </c>
      <c r="F32" s="26">
        <v>25</v>
      </c>
      <c r="G32" s="24">
        <v>16</v>
      </c>
      <c r="H32" s="24">
        <f>VLOOKUP(A32,'[3]2017'!$B:$D,3,FALSE)</f>
        <v>25</v>
      </c>
      <c r="I32" s="27">
        <f t="shared" si="4"/>
        <v>22</v>
      </c>
      <c r="J32" s="28" t="s">
        <v>241</v>
      </c>
      <c r="K32" s="29"/>
      <c r="L32" s="29"/>
      <c r="M32" s="29"/>
      <c r="N32" s="29"/>
      <c r="O32" s="24"/>
      <c r="P32" s="24"/>
      <c r="Q32" s="24"/>
      <c r="R32" s="27"/>
      <c r="S32" s="30"/>
      <c r="T32" s="77" t="s">
        <v>258</v>
      </c>
      <c r="U32" s="43">
        <v>46.84</v>
      </c>
      <c r="W32" s="42"/>
    </row>
    <row r="33" spans="1:23">
      <c r="A33" s="23" t="s">
        <v>74</v>
      </c>
      <c r="B33" s="24">
        <v>3527</v>
      </c>
      <c r="C33" s="24">
        <v>4097</v>
      </c>
      <c r="D33" s="24">
        <f>VLOOKUP(A33,'[3]2017'!$B:$I,8,FALSE)</f>
        <v>4053</v>
      </c>
      <c r="E33" s="25">
        <f t="shared" si="3"/>
        <v>3892.3333333333335</v>
      </c>
      <c r="F33" s="26">
        <v>25</v>
      </c>
      <c r="G33" s="24">
        <v>20</v>
      </c>
      <c r="H33" s="24">
        <f>VLOOKUP(A33,'[3]2017'!$B:$D,3,FALSE)</f>
        <v>33</v>
      </c>
      <c r="I33" s="27">
        <f t="shared" si="4"/>
        <v>26</v>
      </c>
      <c r="J33" s="28" t="s">
        <v>72</v>
      </c>
      <c r="K33" s="29">
        <v>210588</v>
      </c>
      <c r="L33" s="29">
        <v>220846</v>
      </c>
      <c r="M33" s="29">
        <v>220489</v>
      </c>
      <c r="N33" s="29">
        <f t="shared" si="0"/>
        <v>217307.66666666666</v>
      </c>
      <c r="O33" s="24">
        <v>252</v>
      </c>
      <c r="P33" s="24">
        <v>190</v>
      </c>
      <c r="Q33" s="24">
        <v>226</v>
      </c>
      <c r="R33" s="27">
        <f t="shared" si="1"/>
        <v>222.66666666666666</v>
      </c>
      <c r="S33" s="30">
        <v>34.734616358571785</v>
      </c>
      <c r="U33" s="43">
        <v>55.042945283325217</v>
      </c>
      <c r="V33" s="22">
        <f>IFERROR(VLOOKUP(A30,'Count of Providers as of Jan 18'!A:B,2,FALSE),0)</f>
        <v>26</v>
      </c>
      <c r="W33" s="42">
        <f t="shared" si="2"/>
        <v>-20.308328924753432</v>
      </c>
    </row>
    <row r="34" spans="1:23">
      <c r="A34" s="23" t="s">
        <v>75</v>
      </c>
      <c r="B34" s="24" t="s">
        <v>51</v>
      </c>
      <c r="C34" s="24" t="s">
        <v>51</v>
      </c>
      <c r="D34" s="24">
        <f>VLOOKUP(A34,'[3]2017'!$B:$I,8,FALSE)</f>
        <v>3533</v>
      </c>
      <c r="E34" s="25">
        <f t="shared" si="3"/>
        <v>3533</v>
      </c>
      <c r="F34" s="26">
        <v>9</v>
      </c>
      <c r="G34" s="24">
        <v>7</v>
      </c>
      <c r="H34" s="24">
        <f>VLOOKUP(A34,'[3]2017'!$B:$D,3,FALSE)</f>
        <v>18</v>
      </c>
      <c r="I34" s="27">
        <f t="shared" si="4"/>
        <v>11.333333333333334</v>
      </c>
      <c r="J34" s="28" t="s">
        <v>73</v>
      </c>
      <c r="K34" s="29"/>
      <c r="L34" s="29"/>
      <c r="M34" s="29"/>
      <c r="N34" s="29"/>
      <c r="O34" s="24"/>
      <c r="P34" s="24"/>
      <c r="Q34" s="24"/>
      <c r="R34" s="27"/>
      <c r="S34" s="30"/>
      <c r="T34" s="77"/>
      <c r="U34" s="43">
        <v>32.704175578908213</v>
      </c>
      <c r="W34" s="42"/>
    </row>
    <row r="35" spans="1:23">
      <c r="A35" s="23" t="s">
        <v>76</v>
      </c>
      <c r="B35" s="24">
        <v>6493</v>
      </c>
      <c r="C35" s="24">
        <v>6853</v>
      </c>
      <c r="D35" s="24">
        <f>VLOOKUP(A35,'[3]2017'!$B:$I,8,FALSE)</f>
        <v>6420</v>
      </c>
      <c r="E35" s="25">
        <f t="shared" si="3"/>
        <v>6588.666666666667</v>
      </c>
      <c r="F35" s="26">
        <v>38</v>
      </c>
      <c r="G35" s="24">
        <v>13</v>
      </c>
      <c r="H35" s="24">
        <f>VLOOKUP(A35,'[3]2017'!$B:$D,3,FALSE)</f>
        <v>24</v>
      </c>
      <c r="I35" s="27">
        <f t="shared" si="4"/>
        <v>25</v>
      </c>
      <c r="J35" s="28" t="s">
        <v>74</v>
      </c>
      <c r="K35" s="29">
        <v>197900</v>
      </c>
      <c r="L35" s="29">
        <v>193700</v>
      </c>
      <c r="M35" s="29">
        <v>205198</v>
      </c>
      <c r="N35" s="29">
        <f t="shared" si="0"/>
        <v>198932.66666666666</v>
      </c>
      <c r="O35" s="24">
        <v>418</v>
      </c>
      <c r="P35" s="24">
        <v>317</v>
      </c>
      <c r="Q35" s="24">
        <v>437</v>
      </c>
      <c r="R35" s="27">
        <f t="shared" si="1"/>
        <v>390.66666666666669</v>
      </c>
      <c r="S35" s="30">
        <v>51.180327868852459</v>
      </c>
      <c r="U35" s="43">
        <v>53.734553592838303</v>
      </c>
      <c r="V35" s="22">
        <f>IFERROR(VLOOKUP(A31,'Count of Providers as of Jan 18'!A:B,2,FALSE),0)</f>
        <v>13</v>
      </c>
      <c r="W35" s="42">
        <f t="shared" si="2"/>
        <v>-2.5542257239858444</v>
      </c>
    </row>
    <row r="36" spans="1:23">
      <c r="A36" s="23" t="s">
        <v>77</v>
      </c>
      <c r="B36" s="24">
        <v>4093</v>
      </c>
      <c r="C36" s="24">
        <v>4733</v>
      </c>
      <c r="D36" s="24">
        <f>VLOOKUP(A36,'[3]2017'!$B:$I,8,FALSE)</f>
        <v>4873</v>
      </c>
      <c r="E36" s="25">
        <f t="shared" si="3"/>
        <v>4566.333333333333</v>
      </c>
      <c r="F36" s="26">
        <v>16</v>
      </c>
      <c r="G36" s="24">
        <v>32</v>
      </c>
      <c r="H36" s="24">
        <f>VLOOKUP(A36,'[3]2017'!$B:$D,3,FALSE)</f>
        <v>18</v>
      </c>
      <c r="I36" s="27">
        <f t="shared" si="4"/>
        <v>22</v>
      </c>
      <c r="J36" s="28" t="s">
        <v>75</v>
      </c>
      <c r="K36" s="29">
        <v>210989</v>
      </c>
      <c r="L36" s="29">
        <v>216320</v>
      </c>
      <c r="M36" s="29">
        <v>226543</v>
      </c>
      <c r="N36" s="29">
        <f t="shared" si="0"/>
        <v>217950.66666666666</v>
      </c>
      <c r="O36" s="24">
        <v>53</v>
      </c>
      <c r="P36" s="24">
        <v>37</v>
      </c>
      <c r="Q36" s="24">
        <v>58</v>
      </c>
      <c r="R36" s="27">
        <f t="shared" si="1"/>
        <v>49.333333333333336</v>
      </c>
      <c r="S36" s="30">
        <v>31.299206131946345</v>
      </c>
      <c r="U36" s="43">
        <v>63.678999721111836</v>
      </c>
      <c r="V36" s="22">
        <f>IFERROR(VLOOKUP(A32,'Count of Providers as of Jan 18'!A:B,2,FALSE),0)</f>
        <v>2</v>
      </c>
      <c r="W36" s="42">
        <f t="shared" si="2"/>
        <v>-32.379793589165487</v>
      </c>
    </row>
    <row r="37" spans="1:23">
      <c r="A37" s="23" t="s">
        <v>78</v>
      </c>
      <c r="B37" s="24">
        <v>7666</v>
      </c>
      <c r="C37" s="24">
        <v>9701</v>
      </c>
      <c r="D37" s="24">
        <f>VLOOKUP(A37,'[3]2017'!$B:$I,8,FALSE)</f>
        <v>8834</v>
      </c>
      <c r="E37" s="25">
        <f t="shared" si="3"/>
        <v>8733.6666666666661</v>
      </c>
      <c r="F37" s="26">
        <v>66</v>
      </c>
      <c r="G37" s="24">
        <v>38</v>
      </c>
      <c r="H37" s="24">
        <f>VLOOKUP(A37,'[3]2017'!$B:$D,3,FALSE)</f>
        <v>49</v>
      </c>
      <c r="I37" s="27">
        <f t="shared" si="4"/>
        <v>51</v>
      </c>
      <c r="J37" s="28" t="s">
        <v>76</v>
      </c>
      <c r="K37" s="29">
        <v>196661</v>
      </c>
      <c r="L37" s="29">
        <v>184032</v>
      </c>
      <c r="M37" s="29">
        <v>208556</v>
      </c>
      <c r="N37" s="29">
        <f t="shared" si="0"/>
        <v>196416.33333333334</v>
      </c>
      <c r="O37" s="24">
        <v>49</v>
      </c>
      <c r="P37" s="24">
        <v>41</v>
      </c>
      <c r="Q37" s="24">
        <v>57</v>
      </c>
      <c r="R37" s="27">
        <f t="shared" si="1"/>
        <v>49</v>
      </c>
      <c r="S37" s="30">
        <v>52.15956738768719</v>
      </c>
      <c r="U37" s="43">
        <v>60.008860435339315</v>
      </c>
      <c r="V37" s="22">
        <f>IFERROR(VLOOKUP(A33,'Count of Providers as of Jan 18'!A:B,2,FALSE),0)</f>
        <v>2</v>
      </c>
      <c r="W37" s="42">
        <f t="shared" si="2"/>
        <v>-7.8492930476521252</v>
      </c>
    </row>
    <row r="38" spans="1:23">
      <c r="A38" s="23" t="s">
        <v>79</v>
      </c>
      <c r="B38" s="24">
        <v>5944</v>
      </c>
      <c r="C38" s="24">
        <v>3490</v>
      </c>
      <c r="D38" s="24">
        <f>VLOOKUP(A38,'[3]2017'!$B:$I,8,FALSE)</f>
        <v>4553</v>
      </c>
      <c r="E38" s="25">
        <f t="shared" si="3"/>
        <v>4662.333333333333</v>
      </c>
      <c r="F38" s="26">
        <v>17</v>
      </c>
      <c r="G38" s="24">
        <v>12</v>
      </c>
      <c r="H38" s="24">
        <f>VLOOKUP(A38,'[3]2017'!$B:$D,3,FALSE)</f>
        <v>13</v>
      </c>
      <c r="I38" s="27">
        <f t="shared" si="4"/>
        <v>14</v>
      </c>
      <c r="J38" s="28" t="s">
        <v>77</v>
      </c>
      <c r="K38" s="29">
        <v>182000</v>
      </c>
      <c r="L38" s="29">
        <v>207808</v>
      </c>
      <c r="M38" s="29">
        <v>206472</v>
      </c>
      <c r="N38" s="29">
        <f t="shared" si="0"/>
        <v>198760</v>
      </c>
      <c r="O38" s="24">
        <v>32</v>
      </c>
      <c r="P38" s="24">
        <v>33</v>
      </c>
      <c r="Q38" s="24">
        <v>51</v>
      </c>
      <c r="R38" s="27">
        <f t="shared" si="1"/>
        <v>38.666666666666664</v>
      </c>
      <c r="S38" s="30">
        <v>51.18</v>
      </c>
      <c r="U38" s="43">
        <v>53.399756202495333</v>
      </c>
      <c r="V38" s="22">
        <f>IFERROR(VLOOKUP(A34,'Count of Providers as of Jan 18'!A:B,2,FALSE),0)</f>
        <v>2</v>
      </c>
      <c r="W38" s="42">
        <f t="shared" si="2"/>
        <v>-2.2197562024953328</v>
      </c>
    </row>
    <row r="39" spans="1:23">
      <c r="A39" s="23" t="s">
        <v>80</v>
      </c>
      <c r="B39" s="24">
        <v>5631</v>
      </c>
      <c r="C39" s="24">
        <v>6459</v>
      </c>
      <c r="D39" s="24">
        <f>VLOOKUP(A39,'[3]2017'!$B:$I,8,FALSE)</f>
        <v>6025</v>
      </c>
      <c r="E39" s="25">
        <f t="shared" si="3"/>
        <v>6038.333333333333</v>
      </c>
      <c r="F39" s="26">
        <v>17</v>
      </c>
      <c r="G39" s="24">
        <v>13</v>
      </c>
      <c r="H39" s="24">
        <f>VLOOKUP(A39,'[3]2017'!$B:$D,3,FALSE)</f>
        <v>15</v>
      </c>
      <c r="I39" s="27">
        <f t="shared" si="4"/>
        <v>15</v>
      </c>
      <c r="J39" s="28" t="s">
        <v>78</v>
      </c>
      <c r="K39" s="29">
        <v>329835</v>
      </c>
      <c r="L39" s="29">
        <v>316862</v>
      </c>
      <c r="M39" s="29">
        <v>367500</v>
      </c>
      <c r="N39" s="29">
        <f t="shared" si="0"/>
        <v>338065.66666666669</v>
      </c>
      <c r="O39" s="24">
        <v>69</v>
      </c>
      <c r="P39" s="24">
        <v>31</v>
      </c>
      <c r="Q39" s="24">
        <v>66</v>
      </c>
      <c r="R39" s="27">
        <f t="shared" si="1"/>
        <v>55.333333333333336</v>
      </c>
      <c r="S39" s="30">
        <v>55.292953446960055</v>
      </c>
      <c r="U39" s="43">
        <v>47.307374703621939</v>
      </c>
      <c r="V39" s="22">
        <f>IFERROR(VLOOKUP(A35,'Count of Providers as of Jan 18'!A:B,2,FALSE),0)</f>
        <v>9</v>
      </c>
      <c r="W39" s="42">
        <f t="shared" si="2"/>
        <v>7.9855787433381167</v>
      </c>
    </row>
    <row r="40" spans="1:23">
      <c r="A40" s="23" t="s">
        <v>81</v>
      </c>
      <c r="B40" s="24">
        <v>7611</v>
      </c>
      <c r="C40" s="24">
        <v>6885</v>
      </c>
      <c r="D40" s="24">
        <f>VLOOKUP(A40,'[3]2017'!$B:$I,8,FALSE)</f>
        <v>6956</v>
      </c>
      <c r="E40" s="25">
        <f t="shared" si="3"/>
        <v>7150.666666666667</v>
      </c>
      <c r="F40" s="26">
        <v>198</v>
      </c>
      <c r="G40" s="24">
        <v>187</v>
      </c>
      <c r="H40" s="24">
        <f>VLOOKUP(A40,'[3]2017'!$B:$D,3,FALSE)</f>
        <v>139</v>
      </c>
      <c r="I40" s="27">
        <f t="shared" si="4"/>
        <v>174.66666666666666</v>
      </c>
      <c r="J40" s="28" t="s">
        <v>79</v>
      </c>
      <c r="K40" s="29">
        <v>240182</v>
      </c>
      <c r="L40" s="29">
        <v>251015</v>
      </c>
      <c r="M40" s="29">
        <v>239713</v>
      </c>
      <c r="N40" s="29">
        <f t="shared" si="0"/>
        <v>243636.66666666666</v>
      </c>
      <c r="O40" s="24">
        <v>37</v>
      </c>
      <c r="P40" s="24">
        <v>61</v>
      </c>
      <c r="Q40" s="24">
        <v>62</v>
      </c>
      <c r="R40" s="27">
        <f t="shared" si="1"/>
        <v>53.333333333333336</v>
      </c>
      <c r="S40" s="30">
        <v>50.997079002785135</v>
      </c>
      <c r="U40" s="43">
        <v>69.009811645061959</v>
      </c>
      <c r="V40" s="22">
        <f>IFERROR(VLOOKUP(A36,'Count of Providers as of Jan 18'!A:B,2,FALSE),0)</f>
        <v>11</v>
      </c>
      <c r="W40" s="42">
        <f t="shared" si="2"/>
        <v>-18.012732642276823</v>
      </c>
    </row>
    <row r="41" spans="1:23">
      <c r="A41" s="23" t="s">
        <v>82</v>
      </c>
      <c r="B41" s="24">
        <v>8123</v>
      </c>
      <c r="C41" s="24">
        <v>8893</v>
      </c>
      <c r="D41" s="24">
        <f>VLOOKUP(A41,'[3]2017'!$B:$I,8,FALSE)</f>
        <v>7934</v>
      </c>
      <c r="E41" s="25">
        <f t="shared" si="3"/>
        <v>8316.6666666666661</v>
      </c>
      <c r="F41" s="26">
        <v>101</v>
      </c>
      <c r="G41" s="24">
        <v>62</v>
      </c>
      <c r="H41" s="24">
        <f>VLOOKUP(A41,'[3]2017'!$B:$D,3,FALSE)</f>
        <v>90</v>
      </c>
      <c r="I41" s="27">
        <f t="shared" si="4"/>
        <v>84.333333333333329</v>
      </c>
      <c r="J41" s="28" t="s">
        <v>80</v>
      </c>
      <c r="K41" s="29">
        <v>349999</v>
      </c>
      <c r="L41" s="29">
        <v>371181</v>
      </c>
      <c r="M41" s="29">
        <v>386825</v>
      </c>
      <c r="N41" s="29">
        <f t="shared" si="0"/>
        <v>369335</v>
      </c>
      <c r="O41" s="24">
        <v>132</v>
      </c>
      <c r="P41" s="24">
        <v>86</v>
      </c>
      <c r="Q41" s="24">
        <v>135</v>
      </c>
      <c r="R41" s="27">
        <f t="shared" si="1"/>
        <v>117.66666666666667</v>
      </c>
      <c r="S41" s="30">
        <v>44.217344671722977</v>
      </c>
      <c r="U41" s="43">
        <v>53.45083754015603</v>
      </c>
      <c r="V41" s="22">
        <f>IFERROR(VLOOKUP(A37,'Count of Providers as of Jan 18'!A:B,2,FALSE),0)</f>
        <v>14</v>
      </c>
      <c r="W41" s="42">
        <f t="shared" si="2"/>
        <v>-9.2334928684330535</v>
      </c>
    </row>
    <row r="42" spans="1:23">
      <c r="A42" s="23" t="s">
        <v>83</v>
      </c>
      <c r="B42" s="24">
        <v>9205</v>
      </c>
      <c r="C42" s="24">
        <v>8914</v>
      </c>
      <c r="D42" s="24">
        <f>VLOOKUP(A42,'[3]2017'!$B:$I,8,FALSE)</f>
        <v>9786</v>
      </c>
      <c r="E42" s="25">
        <f t="shared" si="3"/>
        <v>9301.6666666666661</v>
      </c>
      <c r="F42" s="26">
        <v>10</v>
      </c>
      <c r="G42" s="24">
        <v>18</v>
      </c>
      <c r="H42" s="24">
        <f>VLOOKUP(A42,'[3]2017'!$B:$D,3,FALSE)</f>
        <v>12</v>
      </c>
      <c r="I42" s="27">
        <f t="shared" si="4"/>
        <v>13.333333333333334</v>
      </c>
      <c r="J42" s="28" t="s">
        <v>81</v>
      </c>
      <c r="K42" s="29">
        <v>316664</v>
      </c>
      <c r="L42" s="29">
        <v>292805</v>
      </c>
      <c r="M42" s="29">
        <v>307353</v>
      </c>
      <c r="N42" s="29">
        <f t="shared" si="0"/>
        <v>305607.33333333331</v>
      </c>
      <c r="O42" s="24">
        <v>39</v>
      </c>
      <c r="P42" s="24">
        <v>25</v>
      </c>
      <c r="Q42" s="24">
        <v>30</v>
      </c>
      <c r="R42" s="27">
        <f t="shared" si="1"/>
        <v>31.333333333333332</v>
      </c>
      <c r="S42" s="30">
        <v>38.958157389635311</v>
      </c>
      <c r="U42" s="43">
        <v>38.635642517186675</v>
      </c>
      <c r="V42" s="22">
        <f>IFERROR(VLOOKUP(A38,'Count of Providers as of Jan 18'!A:B,2,FALSE),0)</f>
        <v>0</v>
      </c>
      <c r="W42" s="42">
        <f t="shared" si="2"/>
        <v>0.32251487244863597</v>
      </c>
    </row>
    <row r="43" spans="1:23">
      <c r="A43" s="23" t="s">
        <v>84</v>
      </c>
      <c r="B43" s="24" t="s">
        <v>51</v>
      </c>
      <c r="C43" s="24">
        <v>7292</v>
      </c>
      <c r="D43" s="24">
        <f>VLOOKUP(A43,'[3]2017'!$B:$I,8,FALSE)</f>
        <v>7725</v>
      </c>
      <c r="E43" s="25">
        <f t="shared" si="3"/>
        <v>7508.5</v>
      </c>
      <c r="F43" s="26">
        <v>7</v>
      </c>
      <c r="G43" s="24">
        <v>12</v>
      </c>
      <c r="H43" s="24">
        <f>VLOOKUP(A43,'[3]2017'!$B:$D,3,FALSE)</f>
        <v>12</v>
      </c>
      <c r="I43" s="27">
        <f t="shared" si="4"/>
        <v>10.333333333333334</v>
      </c>
      <c r="J43" s="28" t="s">
        <v>82</v>
      </c>
      <c r="K43" s="29">
        <v>277869</v>
      </c>
      <c r="L43" s="29">
        <v>285928</v>
      </c>
      <c r="M43" s="29">
        <v>305000</v>
      </c>
      <c r="N43" s="29">
        <f t="shared" si="0"/>
        <v>289599</v>
      </c>
      <c r="O43" s="24">
        <v>34</v>
      </c>
      <c r="P43" s="24">
        <v>23</v>
      </c>
      <c r="Q43" s="24">
        <v>31</v>
      </c>
      <c r="R43" s="27">
        <f t="shared" si="1"/>
        <v>29.333333333333332</v>
      </c>
      <c r="S43" s="30">
        <v>49.320290572890869</v>
      </c>
      <c r="U43" s="43">
        <v>37.146665473900789</v>
      </c>
      <c r="V43" s="22">
        <f>IFERROR(VLOOKUP(A39,'Count of Providers as of Jan 18'!A:B,2,FALSE),0)</f>
        <v>5</v>
      </c>
      <c r="W43" s="42">
        <f t="shared" si="2"/>
        <v>12.17362509899008</v>
      </c>
    </row>
    <row r="44" spans="1:23">
      <c r="A44" s="23" t="s">
        <v>85</v>
      </c>
      <c r="B44" s="24" t="s">
        <v>51</v>
      </c>
      <c r="C44" s="24" t="s">
        <v>51</v>
      </c>
      <c r="D44" s="24">
        <f>VLOOKUP(A44,'[3]2017'!$B:$I,8,FALSE)</f>
        <v>0</v>
      </c>
      <c r="E44" s="25">
        <f t="shared" si="3"/>
        <v>0</v>
      </c>
      <c r="F44" s="26">
        <v>6</v>
      </c>
      <c r="G44" s="24">
        <v>6</v>
      </c>
      <c r="H44" s="24">
        <f>VLOOKUP(A44,'[3]2017'!$B:$D,3,FALSE)</f>
        <v>5</v>
      </c>
      <c r="I44" s="27">
        <f t="shared" si="4"/>
        <v>5.666666666666667</v>
      </c>
      <c r="J44" s="28" t="s">
        <v>83</v>
      </c>
      <c r="K44" s="29">
        <v>253053</v>
      </c>
      <c r="L44" s="29">
        <v>278609</v>
      </c>
      <c r="M44" s="29">
        <v>260209</v>
      </c>
      <c r="N44" s="29">
        <f t="shared" si="0"/>
        <v>263957</v>
      </c>
      <c r="O44" s="24">
        <v>377</v>
      </c>
      <c r="P44" s="24">
        <v>259</v>
      </c>
      <c r="Q44" s="24">
        <v>247</v>
      </c>
      <c r="R44" s="27">
        <f t="shared" si="1"/>
        <v>294.33333333333331</v>
      </c>
      <c r="S44" s="30">
        <v>38.958157389635311</v>
      </c>
      <c r="T44" s="77" t="s">
        <v>258</v>
      </c>
      <c r="U44" s="43">
        <v>37.15</v>
      </c>
      <c r="V44" s="22">
        <f>IFERROR(VLOOKUP(A40,'Count of Providers as of Jan 18'!A:B,2,FALSE),0)</f>
        <v>12</v>
      </c>
      <c r="W44" s="42">
        <f t="shared" si="2"/>
        <v>1.808157389635312</v>
      </c>
    </row>
    <row r="45" spans="1:23">
      <c r="A45" s="23" t="s">
        <v>86</v>
      </c>
      <c r="B45" s="24">
        <v>8133</v>
      </c>
      <c r="C45" s="24" t="s">
        <v>51</v>
      </c>
      <c r="D45" s="24">
        <f>VLOOKUP(A45,'[3]2017'!$B:$I,8,FALSE)</f>
        <v>7020</v>
      </c>
      <c r="E45" s="25">
        <f t="shared" si="3"/>
        <v>7576.5</v>
      </c>
      <c r="F45" s="26">
        <v>11</v>
      </c>
      <c r="G45" s="24">
        <v>7</v>
      </c>
      <c r="H45" s="24">
        <f>VLOOKUP(A45,'[3]2017'!$B:$D,3,FALSE)</f>
        <v>10</v>
      </c>
      <c r="I45" s="27">
        <f t="shared" si="4"/>
        <v>9.3333333333333339</v>
      </c>
      <c r="J45" s="28" t="s">
        <v>84</v>
      </c>
      <c r="K45" s="29">
        <v>249281</v>
      </c>
      <c r="L45" s="29">
        <v>312840</v>
      </c>
      <c r="M45" s="29">
        <v>259388</v>
      </c>
      <c r="N45" s="29">
        <f t="shared" si="0"/>
        <v>273836.33333333331</v>
      </c>
      <c r="O45" s="24">
        <v>133</v>
      </c>
      <c r="P45" s="24">
        <v>80</v>
      </c>
      <c r="Q45" s="24">
        <v>140</v>
      </c>
      <c r="R45" s="27">
        <f t="shared" si="1"/>
        <v>117.66666666666667</v>
      </c>
      <c r="S45" s="30">
        <v>35.852557015927609</v>
      </c>
      <c r="T45" s="77" t="s">
        <v>258</v>
      </c>
      <c r="U45" s="43">
        <v>45.85</v>
      </c>
      <c r="V45" s="22">
        <f>IFERROR(VLOOKUP(A41,'Count of Providers as of Jan 18'!A:B,2,FALSE),0)</f>
        <v>2</v>
      </c>
      <c r="W45" s="42">
        <f t="shared" si="2"/>
        <v>-9.9974429840723928</v>
      </c>
    </row>
    <row r="46" spans="1:23">
      <c r="A46" s="23" t="s">
        <v>87</v>
      </c>
      <c r="B46" s="24">
        <v>12025</v>
      </c>
      <c r="C46" s="24">
        <v>9856</v>
      </c>
      <c r="D46" s="24">
        <f>VLOOKUP(A46,'[3]2017'!$B:$I,8,FALSE)</f>
        <v>11976</v>
      </c>
      <c r="E46" s="25">
        <f t="shared" si="3"/>
        <v>11285.666666666666</v>
      </c>
      <c r="F46" s="26">
        <v>19</v>
      </c>
      <c r="G46" s="24">
        <v>24</v>
      </c>
      <c r="H46" s="24">
        <f>VLOOKUP(A46,'[3]2017'!$B:$D,3,FALSE)</f>
        <v>20</v>
      </c>
      <c r="I46" s="27">
        <f t="shared" si="4"/>
        <v>21</v>
      </c>
      <c r="J46" s="28" t="s">
        <v>85</v>
      </c>
      <c r="K46" s="29">
        <v>282332</v>
      </c>
      <c r="L46" s="29">
        <v>267956</v>
      </c>
      <c r="M46" s="29">
        <v>458000</v>
      </c>
      <c r="N46" s="29">
        <f t="shared" si="0"/>
        <v>336096</v>
      </c>
      <c r="O46" s="24">
        <v>14</v>
      </c>
      <c r="P46" s="24">
        <v>17</v>
      </c>
      <c r="Q46" s="24">
        <v>17</v>
      </c>
      <c r="R46" s="27">
        <f t="shared" si="1"/>
        <v>16</v>
      </c>
      <c r="S46" s="30">
        <v>35.852557015927609</v>
      </c>
      <c r="T46" s="77" t="s">
        <v>258</v>
      </c>
      <c r="U46" s="43">
        <v>56.78</v>
      </c>
      <c r="V46" s="22">
        <f>IFERROR(VLOOKUP(A42,'Count of Providers as of Jan 18'!A:B,2,FALSE),0)</f>
        <v>3</v>
      </c>
      <c r="W46" s="42">
        <f t="shared" si="2"/>
        <v>-20.927442984072393</v>
      </c>
    </row>
    <row r="47" spans="1:23">
      <c r="A47" s="23" t="s">
        <v>88</v>
      </c>
      <c r="B47" s="24">
        <v>5673</v>
      </c>
      <c r="C47" s="24">
        <v>6050</v>
      </c>
      <c r="D47" s="24">
        <f>VLOOKUP(A47,'[3]2017'!$B:$I,8,FALSE)</f>
        <v>6720</v>
      </c>
      <c r="E47" s="25">
        <f t="shared" si="3"/>
        <v>6147.666666666667</v>
      </c>
      <c r="F47" s="26">
        <v>21</v>
      </c>
      <c r="G47" s="24">
        <v>20</v>
      </c>
      <c r="H47" s="24">
        <f>VLOOKUP(A47,'[3]2017'!$B:$D,3,FALSE)</f>
        <v>23</v>
      </c>
      <c r="I47" s="27">
        <f t="shared" si="4"/>
        <v>21.333333333333332</v>
      </c>
      <c r="J47" s="28" t="s">
        <v>265</v>
      </c>
      <c r="K47" s="29">
        <v>243681</v>
      </c>
      <c r="L47" s="29">
        <v>199775</v>
      </c>
      <c r="M47" s="29">
        <v>244191</v>
      </c>
      <c r="N47" s="29">
        <f t="shared" si="0"/>
        <v>229215.66666666666</v>
      </c>
      <c r="O47" s="24">
        <v>11</v>
      </c>
      <c r="P47" s="24">
        <v>11</v>
      </c>
      <c r="Q47" s="24">
        <v>13</v>
      </c>
      <c r="R47" s="27">
        <f t="shared" si="1"/>
        <v>11.666666666666666</v>
      </c>
      <c r="S47" s="30">
        <v>35.852557015927609</v>
      </c>
      <c r="T47" s="77" t="s">
        <v>258</v>
      </c>
      <c r="U47" s="43">
        <v>39.909999999999997</v>
      </c>
      <c r="V47" s="22">
        <f>IFERROR(VLOOKUP(A43,'Count of Providers as of Jan 18'!A:B,2,FALSE),0)</f>
        <v>2</v>
      </c>
      <c r="W47" s="42">
        <f t="shared" si="2"/>
        <v>-4.057442984072388</v>
      </c>
    </row>
    <row r="48" spans="1:23">
      <c r="A48" s="23" t="s">
        <v>89</v>
      </c>
      <c r="B48" s="24">
        <v>9294</v>
      </c>
      <c r="C48" s="24">
        <v>9377</v>
      </c>
      <c r="D48" s="24">
        <f>VLOOKUP(A48,'[3]2017'!$B:$I,8,FALSE)</f>
        <v>8339</v>
      </c>
      <c r="E48" s="25">
        <f t="shared" si="3"/>
        <v>9003.3333333333339</v>
      </c>
      <c r="F48" s="26">
        <v>15</v>
      </c>
      <c r="G48" s="24">
        <v>16</v>
      </c>
      <c r="H48" s="24">
        <f>VLOOKUP(A48,'[3]2017'!$B:$D,3,FALSE)</f>
        <v>22</v>
      </c>
      <c r="I48" s="27">
        <f t="shared" si="4"/>
        <v>17.666666666666668</v>
      </c>
      <c r="J48" s="28" t="s">
        <v>87</v>
      </c>
      <c r="K48" s="29">
        <v>196698</v>
      </c>
      <c r="L48" s="29" t="s">
        <v>51</v>
      </c>
      <c r="M48" s="29">
        <v>0</v>
      </c>
      <c r="N48" s="29">
        <f t="shared" si="0"/>
        <v>98349</v>
      </c>
      <c r="O48" s="24">
        <v>11</v>
      </c>
      <c r="P48" s="24">
        <v>8</v>
      </c>
      <c r="Q48" s="24">
        <v>5</v>
      </c>
      <c r="R48" s="27">
        <f t="shared" si="1"/>
        <v>8</v>
      </c>
      <c r="S48" s="30">
        <v>35.852557015927609</v>
      </c>
      <c r="T48" s="77"/>
      <c r="U48" s="43">
        <v>38.66003741262184</v>
      </c>
      <c r="V48" s="22">
        <f>IFERROR(VLOOKUP(A44,'Count of Providers as of Jan 18'!A:B,2,FALSE),0)</f>
        <v>1</v>
      </c>
      <c r="W48" s="42">
        <f t="shared" si="2"/>
        <v>-2.8074803966942312</v>
      </c>
    </row>
    <row r="49" spans="1:23">
      <c r="A49" s="23" t="s">
        <v>90</v>
      </c>
      <c r="B49" s="24">
        <v>7846</v>
      </c>
      <c r="C49" s="24">
        <v>8413</v>
      </c>
      <c r="D49" s="24">
        <f>VLOOKUP(A49,'[3]2017'!$B:$I,8,FALSE)</f>
        <v>9928</v>
      </c>
      <c r="E49" s="25">
        <f t="shared" si="3"/>
        <v>8729</v>
      </c>
      <c r="F49" s="26">
        <v>82</v>
      </c>
      <c r="G49" s="24">
        <v>30</v>
      </c>
      <c r="H49" s="24">
        <f>VLOOKUP(A49,'[3]2017'!$B:$D,3,FALSE)</f>
        <v>33</v>
      </c>
      <c r="I49" s="27">
        <f t="shared" si="4"/>
        <v>48.333333333333336</v>
      </c>
      <c r="J49" s="28" t="s">
        <v>88</v>
      </c>
      <c r="K49" s="29">
        <v>227679</v>
      </c>
      <c r="L49" s="29" t="s">
        <v>51</v>
      </c>
      <c r="M49" s="29">
        <v>360284</v>
      </c>
      <c r="N49" s="29">
        <f t="shared" si="0"/>
        <v>293981.5</v>
      </c>
      <c r="O49" s="24">
        <v>13</v>
      </c>
      <c r="P49" s="24">
        <v>8</v>
      </c>
      <c r="Q49" s="24">
        <v>11</v>
      </c>
      <c r="R49" s="27">
        <f t="shared" si="1"/>
        <v>10.666666666666666</v>
      </c>
      <c r="S49" s="30">
        <v>35.852557015927609</v>
      </c>
      <c r="T49" s="77"/>
      <c r="U49" s="43">
        <v>41.946101180903369</v>
      </c>
      <c r="V49" s="22">
        <f>IFERROR(VLOOKUP(A45,'Count of Providers as of Jan 18'!A:B,2,FALSE),0)</f>
        <v>2</v>
      </c>
      <c r="W49" s="42">
        <f t="shared" si="2"/>
        <v>-6.0935441649757607</v>
      </c>
    </row>
    <row r="50" spans="1:23">
      <c r="A50" s="23" t="s">
        <v>91</v>
      </c>
      <c r="B50" s="24">
        <v>10014</v>
      </c>
      <c r="C50" s="24">
        <v>10485</v>
      </c>
      <c r="D50" s="24">
        <f>VLOOKUP(A50,'[3]2017'!$B:$I,8,FALSE)</f>
        <v>9025</v>
      </c>
      <c r="E50" s="25">
        <f t="shared" si="3"/>
        <v>9841.3333333333339</v>
      </c>
      <c r="F50" s="26">
        <v>32</v>
      </c>
      <c r="G50" s="24">
        <v>24</v>
      </c>
      <c r="H50" s="24">
        <f>VLOOKUP(A50,'[3]2017'!$B:$D,3,FALSE)</f>
        <v>43</v>
      </c>
      <c r="I50" s="27">
        <f t="shared" si="4"/>
        <v>33</v>
      </c>
      <c r="J50" s="28" t="s">
        <v>246</v>
      </c>
      <c r="K50" s="29"/>
      <c r="L50" s="29"/>
      <c r="M50" s="29"/>
      <c r="N50" s="29"/>
      <c r="O50" s="24"/>
      <c r="P50" s="24"/>
      <c r="Q50" s="24"/>
      <c r="R50" s="27"/>
      <c r="S50" s="30"/>
      <c r="T50" s="79" t="s">
        <v>258</v>
      </c>
      <c r="U50" s="43">
        <v>54.56</v>
      </c>
      <c r="W50" s="42"/>
    </row>
    <row r="51" spans="1:23">
      <c r="A51" s="23" t="s">
        <v>92</v>
      </c>
      <c r="B51" s="24">
        <v>9738</v>
      </c>
      <c r="C51" s="24">
        <v>12613</v>
      </c>
      <c r="D51" s="24">
        <f>VLOOKUP(A51,'[3]2017'!$B:$I,8,FALSE)</f>
        <v>11097</v>
      </c>
      <c r="E51" s="25">
        <f t="shared" si="3"/>
        <v>11149.333333333334</v>
      </c>
      <c r="F51" s="26">
        <v>36</v>
      </c>
      <c r="G51" s="24">
        <v>27</v>
      </c>
      <c r="H51" s="24">
        <f>VLOOKUP(A51,'[3]2017'!$B:$D,3,FALSE)</f>
        <v>35</v>
      </c>
      <c r="I51" s="27">
        <f t="shared" si="4"/>
        <v>32.666666666666664</v>
      </c>
      <c r="J51" s="28" t="s">
        <v>89</v>
      </c>
      <c r="K51" s="29">
        <v>348004</v>
      </c>
      <c r="L51" s="29">
        <v>285455</v>
      </c>
      <c r="M51" s="29">
        <v>339645</v>
      </c>
      <c r="N51" s="29">
        <f t="shared" si="0"/>
        <v>324368</v>
      </c>
      <c r="O51" s="24">
        <v>14</v>
      </c>
      <c r="P51" s="24">
        <v>31</v>
      </c>
      <c r="Q51" s="24">
        <v>28</v>
      </c>
      <c r="R51" s="27">
        <f t="shared" si="1"/>
        <v>24.333333333333332</v>
      </c>
      <c r="S51" s="30">
        <v>34.321378141767859</v>
      </c>
      <c r="U51" s="43">
        <v>49.284279077155226</v>
      </c>
      <c r="V51" s="22">
        <f>IFERROR(VLOOKUP(A46,'Count of Providers as of Jan 18'!A:B,2,FALSE),0)</f>
        <v>3</v>
      </c>
      <c r="W51" s="42">
        <f t="shared" si="2"/>
        <v>-14.962900935387367</v>
      </c>
    </row>
    <row r="52" spans="1:23">
      <c r="A52" s="23" t="s">
        <v>93</v>
      </c>
      <c r="B52" s="24">
        <v>8834</v>
      </c>
      <c r="C52" s="24">
        <v>8609</v>
      </c>
      <c r="D52" s="24">
        <f>VLOOKUP(A52,'[3]2017'!$B:$I,8,FALSE)</f>
        <v>6956</v>
      </c>
      <c r="E52" s="25">
        <f t="shared" si="3"/>
        <v>8133</v>
      </c>
      <c r="F52" s="26">
        <v>20</v>
      </c>
      <c r="G52" s="24">
        <v>10</v>
      </c>
      <c r="H52" s="24">
        <f>VLOOKUP(A52,'[3]2017'!$B:$D,3,FALSE)</f>
        <v>10</v>
      </c>
      <c r="I52" s="27">
        <f t="shared" si="4"/>
        <v>13.333333333333334</v>
      </c>
      <c r="J52" s="28" t="s">
        <v>90</v>
      </c>
      <c r="K52" s="29">
        <v>244503</v>
      </c>
      <c r="L52" s="29">
        <v>285113</v>
      </c>
      <c r="M52" s="29">
        <v>282851</v>
      </c>
      <c r="N52" s="29">
        <f t="shared" si="0"/>
        <v>270822.33333333331</v>
      </c>
      <c r="O52" s="24">
        <v>22</v>
      </c>
      <c r="P52" s="24">
        <v>23</v>
      </c>
      <c r="Q52" s="24">
        <v>28</v>
      </c>
      <c r="R52" s="27">
        <f t="shared" si="1"/>
        <v>24.333333333333332</v>
      </c>
      <c r="S52" s="30">
        <v>42.085209713024284</v>
      </c>
      <c r="U52" s="43">
        <v>54.55650813091107</v>
      </c>
      <c r="V52" s="22">
        <f>IFERROR(VLOOKUP(A47,'Count of Providers as of Jan 18'!A:B,2,FALSE),0)</f>
        <v>2</v>
      </c>
      <c r="W52" s="42">
        <f t="shared" si="2"/>
        <v>-12.471298417886786</v>
      </c>
    </row>
    <row r="53" spans="1:23">
      <c r="A53" s="23" t="s">
        <v>94</v>
      </c>
      <c r="B53" s="24" t="s">
        <v>51</v>
      </c>
      <c r="C53" s="24" t="s">
        <v>51</v>
      </c>
      <c r="D53" s="24">
        <f>VLOOKUP(A53,'[3]2017'!$B:$I,8,FALSE)</f>
        <v>0</v>
      </c>
      <c r="E53" s="25">
        <f t="shared" si="3"/>
        <v>0</v>
      </c>
      <c r="F53" s="26">
        <v>9</v>
      </c>
      <c r="G53" s="24">
        <v>6</v>
      </c>
      <c r="H53" s="24">
        <f>VLOOKUP(A53,'[3]2017'!$B:$D,3,FALSE)</f>
        <v>7</v>
      </c>
      <c r="I53" s="27">
        <f t="shared" si="4"/>
        <v>7.333333333333333</v>
      </c>
      <c r="J53" s="28" t="s">
        <v>91</v>
      </c>
      <c r="K53" s="29">
        <v>441501</v>
      </c>
      <c r="L53" s="29">
        <v>392448</v>
      </c>
      <c r="M53" s="29">
        <v>367635</v>
      </c>
      <c r="N53" s="29">
        <f t="shared" si="0"/>
        <v>400528</v>
      </c>
      <c r="O53" s="24">
        <v>27</v>
      </c>
      <c r="P53" s="24">
        <v>17</v>
      </c>
      <c r="Q53" s="24">
        <v>27</v>
      </c>
      <c r="R53" s="27">
        <f t="shared" si="1"/>
        <v>23.666666666666668</v>
      </c>
      <c r="S53" s="30">
        <v>45.227220956719819</v>
      </c>
      <c r="U53" s="43">
        <v>53.568590382566256</v>
      </c>
      <c r="V53" s="22">
        <f>IFERROR(VLOOKUP(A48,'Count of Providers as of Jan 18'!A:B,2,FALSE),0)</f>
        <v>2</v>
      </c>
      <c r="W53" s="42">
        <f t="shared" si="2"/>
        <v>-8.3413694258464375</v>
      </c>
    </row>
    <row r="54" spans="1:23">
      <c r="A54" s="23" t="s">
        <v>95</v>
      </c>
      <c r="B54" s="24">
        <v>12192</v>
      </c>
      <c r="C54" s="24">
        <v>15525</v>
      </c>
      <c r="D54" s="24">
        <f>VLOOKUP(A54,'[3]2017'!$B:$I,8,FALSE)</f>
        <v>14035</v>
      </c>
      <c r="E54" s="25">
        <f t="shared" si="3"/>
        <v>13917.333333333334</v>
      </c>
      <c r="F54" s="26">
        <v>33</v>
      </c>
      <c r="G54" s="24">
        <v>26</v>
      </c>
      <c r="H54" s="24">
        <f>VLOOKUP(A54,'[3]2017'!$B:$D,3,FALSE)</f>
        <v>31</v>
      </c>
      <c r="I54" s="27">
        <f t="shared" si="4"/>
        <v>30</v>
      </c>
      <c r="J54" s="28" t="s">
        <v>92</v>
      </c>
      <c r="K54" s="29">
        <v>444425</v>
      </c>
      <c r="L54" s="29">
        <v>407997</v>
      </c>
      <c r="M54" s="29">
        <v>444656</v>
      </c>
      <c r="N54" s="29">
        <f t="shared" si="0"/>
        <v>432359.33333333331</v>
      </c>
      <c r="O54" s="24">
        <v>104</v>
      </c>
      <c r="P54" s="24">
        <v>35</v>
      </c>
      <c r="Q54" s="24">
        <v>56</v>
      </c>
      <c r="R54" s="27">
        <f t="shared" si="1"/>
        <v>65</v>
      </c>
      <c r="S54" s="30">
        <v>52.724146341463417</v>
      </c>
      <c r="U54" s="43">
        <v>48.437622652088592</v>
      </c>
      <c r="V54" s="22">
        <f>IFERROR(VLOOKUP(A49,'Count of Providers as of Jan 18'!A:B,2,FALSE),0)</f>
        <v>0</v>
      </c>
      <c r="W54" s="42">
        <f t="shared" si="2"/>
        <v>4.2865236893748246</v>
      </c>
    </row>
    <row r="55" spans="1:23">
      <c r="A55" s="23" t="s">
        <v>96</v>
      </c>
      <c r="B55" s="24">
        <v>8760</v>
      </c>
      <c r="C55" s="24">
        <v>10107</v>
      </c>
      <c r="D55" s="24">
        <f>VLOOKUP(A55,'[3]2017'!$B:$I,8,FALSE)</f>
        <v>8341</v>
      </c>
      <c r="E55" s="25">
        <f t="shared" si="3"/>
        <v>9069.3333333333339</v>
      </c>
      <c r="F55" s="26">
        <v>54</v>
      </c>
      <c r="G55" s="24">
        <v>36</v>
      </c>
      <c r="H55" s="24">
        <f>VLOOKUP(A55,'[3]2017'!$B:$D,3,FALSE)</f>
        <v>52</v>
      </c>
      <c r="I55" s="27">
        <f t="shared" si="4"/>
        <v>47.333333333333336</v>
      </c>
      <c r="J55" s="28" t="s">
        <v>93</v>
      </c>
      <c r="K55" s="29">
        <v>499018</v>
      </c>
      <c r="L55" s="29">
        <v>527350</v>
      </c>
      <c r="M55" s="29">
        <v>502426</v>
      </c>
      <c r="N55" s="29">
        <f t="shared" si="0"/>
        <v>509598</v>
      </c>
      <c r="O55" s="24">
        <v>39</v>
      </c>
      <c r="P55" s="24">
        <v>34</v>
      </c>
      <c r="Q55" s="24">
        <v>52</v>
      </c>
      <c r="R55" s="27">
        <f t="shared" si="1"/>
        <v>41.666666666666664</v>
      </c>
      <c r="S55" s="30">
        <v>53.389064036069016</v>
      </c>
      <c r="U55" s="43">
        <v>54.55650813091107</v>
      </c>
      <c r="V55" s="22">
        <f>IFERROR(VLOOKUP(A50,'Count of Providers as of Jan 18'!A:B,2,FALSE),0)</f>
        <v>3</v>
      </c>
      <c r="W55" s="42">
        <f t="shared" si="2"/>
        <v>-1.1674440948420539</v>
      </c>
    </row>
    <row r="56" spans="1:23">
      <c r="A56" s="23" t="s">
        <v>97</v>
      </c>
      <c r="B56" s="24">
        <v>10466</v>
      </c>
      <c r="C56" s="24">
        <v>9828</v>
      </c>
      <c r="D56" s="24">
        <f>VLOOKUP(A56,'[3]2017'!$B:$I,8,FALSE)</f>
        <v>9354</v>
      </c>
      <c r="E56" s="25">
        <f t="shared" si="3"/>
        <v>9882.6666666666661</v>
      </c>
      <c r="F56" s="26">
        <v>35</v>
      </c>
      <c r="G56" s="24">
        <v>41</v>
      </c>
      <c r="H56" s="24">
        <f>VLOOKUP(A56,'[3]2017'!$B:$D,3,FALSE)</f>
        <v>46</v>
      </c>
      <c r="I56" s="27">
        <f t="shared" si="4"/>
        <v>40.666666666666664</v>
      </c>
      <c r="J56" s="28" t="s">
        <v>94</v>
      </c>
      <c r="K56" s="29">
        <v>512952</v>
      </c>
      <c r="L56" s="29">
        <v>548288</v>
      </c>
      <c r="M56" s="29">
        <v>525000</v>
      </c>
      <c r="N56" s="29">
        <f t="shared" si="0"/>
        <v>528746.66666666663</v>
      </c>
      <c r="O56" s="24">
        <v>53</v>
      </c>
      <c r="P56" s="24">
        <v>31</v>
      </c>
      <c r="Q56" s="24">
        <v>39</v>
      </c>
      <c r="R56" s="27">
        <f t="shared" si="1"/>
        <v>41</v>
      </c>
      <c r="S56" s="30">
        <v>46.878843573137289</v>
      </c>
      <c r="U56" s="43">
        <v>54.55650813091107</v>
      </c>
      <c r="V56" s="22">
        <f>IFERROR(VLOOKUP(A51,'Count of Providers as of Jan 18'!A:B,2,FALSE),0)</f>
        <v>2</v>
      </c>
      <c r="W56" s="42">
        <f t="shared" si="2"/>
        <v>-7.677664557773781</v>
      </c>
    </row>
    <row r="57" spans="1:23">
      <c r="A57" s="23" t="s">
        <v>98</v>
      </c>
      <c r="B57" s="24">
        <v>7604</v>
      </c>
      <c r="C57" s="24">
        <v>8990</v>
      </c>
      <c r="D57" s="24">
        <f>VLOOKUP(A57,'[3]2017'!$B:$I,8,FALSE)</f>
        <v>7533</v>
      </c>
      <c r="E57" s="25">
        <f t="shared" si="3"/>
        <v>8042.333333333333</v>
      </c>
      <c r="F57" s="26">
        <v>86</v>
      </c>
      <c r="G57" s="24">
        <v>92</v>
      </c>
      <c r="H57" s="24">
        <f>VLOOKUP(A57,'[3]2017'!$B:$D,3,FALSE)</f>
        <v>131</v>
      </c>
      <c r="I57" s="27">
        <f t="shared" si="4"/>
        <v>103</v>
      </c>
      <c r="J57" s="28" t="s">
        <v>95</v>
      </c>
      <c r="K57" s="29">
        <v>500756</v>
      </c>
      <c r="L57" s="29">
        <v>439454</v>
      </c>
      <c r="M57" s="29">
        <v>498319</v>
      </c>
      <c r="N57" s="29">
        <f t="shared" si="0"/>
        <v>479509.66666666669</v>
      </c>
      <c r="O57" s="24">
        <v>26</v>
      </c>
      <c r="P57" s="24">
        <v>15</v>
      </c>
      <c r="Q57" s="24">
        <v>12</v>
      </c>
      <c r="R57" s="27">
        <f t="shared" si="1"/>
        <v>17.666666666666668</v>
      </c>
      <c r="S57" s="30">
        <v>52.724146341463417</v>
      </c>
      <c r="U57" s="43">
        <v>56.928471948495599</v>
      </c>
      <c r="V57" s="22">
        <f>IFERROR(VLOOKUP(A52,'Count of Providers as of Jan 18'!A:B,2,FALSE),0)</f>
        <v>1</v>
      </c>
      <c r="W57" s="42">
        <f t="shared" si="2"/>
        <v>-4.2043256070321817</v>
      </c>
    </row>
    <row r="58" spans="1:23">
      <c r="A58" s="23" t="s">
        <v>99</v>
      </c>
      <c r="B58" s="24">
        <v>6466</v>
      </c>
      <c r="C58" s="24">
        <v>7134</v>
      </c>
      <c r="D58" s="24">
        <f>VLOOKUP(A58,'[3]2017'!$B:$I,8,FALSE)</f>
        <v>6070</v>
      </c>
      <c r="E58" s="25">
        <f t="shared" si="3"/>
        <v>6556.666666666667</v>
      </c>
      <c r="F58" s="26">
        <v>123</v>
      </c>
      <c r="G58" s="24">
        <v>46</v>
      </c>
      <c r="H58" s="24">
        <f>VLOOKUP(A58,'[3]2017'!$B:$D,3,FALSE)</f>
        <v>69</v>
      </c>
      <c r="I58" s="27">
        <f t="shared" si="4"/>
        <v>79.333333333333329</v>
      </c>
      <c r="J58" s="28" t="s">
        <v>96</v>
      </c>
      <c r="K58" s="29">
        <v>489375</v>
      </c>
      <c r="L58" s="29" t="s">
        <v>51</v>
      </c>
      <c r="M58" s="29">
        <v>0</v>
      </c>
      <c r="N58" s="29">
        <f t="shared" si="0"/>
        <v>244687.5</v>
      </c>
      <c r="O58" s="24">
        <v>11</v>
      </c>
      <c r="P58" s="24">
        <v>9</v>
      </c>
      <c r="Q58" s="24">
        <v>8</v>
      </c>
      <c r="R58" s="27">
        <f t="shared" si="1"/>
        <v>9.3333333333333339</v>
      </c>
      <c r="S58" s="30">
        <v>52.724146341463417</v>
      </c>
      <c r="U58" s="43">
        <v>60.106497218788626</v>
      </c>
      <c r="V58" s="22">
        <f>IFERROR(VLOOKUP(A53,'Count of Providers as of Jan 18'!A:B,2,FALSE),0)</f>
        <v>0</v>
      </c>
      <c r="W58" s="42">
        <f t="shared" si="2"/>
        <v>-7.3823508773252087</v>
      </c>
    </row>
    <row r="59" spans="1:23">
      <c r="A59" s="23" t="s">
        <v>100</v>
      </c>
      <c r="B59" s="24">
        <v>5808</v>
      </c>
      <c r="C59" s="24">
        <v>6269</v>
      </c>
      <c r="D59" s="24">
        <f>VLOOKUP(A59,'[3]2017'!$B:$I,8,FALSE)</f>
        <v>7163</v>
      </c>
      <c r="E59" s="25">
        <f t="shared" si="3"/>
        <v>6413.333333333333</v>
      </c>
      <c r="F59" s="26">
        <v>31</v>
      </c>
      <c r="G59" s="24">
        <v>43</v>
      </c>
      <c r="H59" s="24">
        <f>VLOOKUP(A59,'[3]2017'!$B:$D,3,FALSE)</f>
        <v>69</v>
      </c>
      <c r="I59" s="27">
        <f t="shared" si="4"/>
        <v>47.666666666666664</v>
      </c>
      <c r="J59" s="28" t="s">
        <v>97</v>
      </c>
      <c r="K59" s="29">
        <v>600642</v>
      </c>
      <c r="L59" s="29">
        <v>610000</v>
      </c>
      <c r="M59" s="29">
        <v>734127</v>
      </c>
      <c r="N59" s="29">
        <f t="shared" si="0"/>
        <v>648256.33333333337</v>
      </c>
      <c r="O59" s="24">
        <v>43</v>
      </c>
      <c r="P59" s="24">
        <v>35</v>
      </c>
      <c r="Q59" s="24">
        <v>40</v>
      </c>
      <c r="R59" s="27">
        <f t="shared" si="1"/>
        <v>39.333333333333336</v>
      </c>
      <c r="S59" s="30">
        <v>50.001875816217499</v>
      </c>
      <c r="U59" s="43">
        <v>61.224272663902859</v>
      </c>
      <c r="V59" s="22">
        <f>IFERROR(VLOOKUP(A54,'Count of Providers as of Jan 18'!A:B,2,FALSE),0)</f>
        <v>2</v>
      </c>
      <c r="W59" s="42">
        <f t="shared" si="2"/>
        <v>-11.22239684768536</v>
      </c>
    </row>
    <row r="60" spans="1:23">
      <c r="A60" s="23" t="s">
        <v>101</v>
      </c>
      <c r="B60" s="24" t="s">
        <v>51</v>
      </c>
      <c r="C60" s="24" t="s">
        <v>51</v>
      </c>
      <c r="E60" s="25">
        <f t="shared" si="3"/>
        <v>0</v>
      </c>
      <c r="F60" s="26">
        <v>3</v>
      </c>
      <c r="G60" s="24">
        <v>2</v>
      </c>
      <c r="I60" s="27">
        <f t="shared" si="4"/>
        <v>2.5</v>
      </c>
      <c r="J60" s="28" t="s">
        <v>98</v>
      </c>
      <c r="K60" s="29">
        <v>503762</v>
      </c>
      <c r="L60" s="29">
        <v>495552</v>
      </c>
      <c r="M60" s="29">
        <v>491719</v>
      </c>
      <c r="N60" s="29">
        <f t="shared" si="0"/>
        <v>497011</v>
      </c>
      <c r="O60" s="24">
        <v>69</v>
      </c>
      <c r="P60" s="24">
        <v>48</v>
      </c>
      <c r="Q60" s="24">
        <v>70</v>
      </c>
      <c r="R60" s="27">
        <f t="shared" si="1"/>
        <v>62.333333333333336</v>
      </c>
      <c r="S60" s="30">
        <v>55.299387807470943</v>
      </c>
      <c r="U60" s="43">
        <v>49.412072346916538</v>
      </c>
      <c r="V60" s="22">
        <f>IFERROR(VLOOKUP(A55,'Count of Providers as of Jan 18'!A:B,2,FALSE),0)</f>
        <v>4</v>
      </c>
      <c r="W60" s="42">
        <f t="shared" si="2"/>
        <v>5.8873154605544045</v>
      </c>
    </row>
    <row r="61" spans="1:23">
      <c r="A61" s="23" t="s">
        <v>102</v>
      </c>
      <c r="B61" s="24" t="s">
        <v>51</v>
      </c>
      <c r="C61" s="24">
        <v>5786</v>
      </c>
      <c r="D61" s="24">
        <f>VLOOKUP(A61,'[3]2017'!$B:$I,8,FALSE)</f>
        <v>0</v>
      </c>
      <c r="E61" s="25">
        <f t="shared" si="3"/>
        <v>2893</v>
      </c>
      <c r="F61" s="26">
        <v>7</v>
      </c>
      <c r="G61" s="24">
        <v>12</v>
      </c>
      <c r="H61" s="24">
        <f>VLOOKUP(A61,'[3]2017'!$B:$D,3,FALSE)</f>
        <v>7</v>
      </c>
      <c r="I61" s="27">
        <f t="shared" si="4"/>
        <v>8.6666666666666661</v>
      </c>
      <c r="J61" s="28" t="s">
        <v>266</v>
      </c>
      <c r="K61" s="29">
        <v>533363</v>
      </c>
      <c r="L61" s="29">
        <v>565000</v>
      </c>
      <c r="M61" s="29">
        <v>527836</v>
      </c>
      <c r="N61" s="29">
        <f t="shared" si="0"/>
        <v>542066.33333333337</v>
      </c>
      <c r="O61" s="24">
        <v>49</v>
      </c>
      <c r="P61" s="24">
        <v>53</v>
      </c>
      <c r="Q61" s="24">
        <v>64</v>
      </c>
      <c r="R61" s="27">
        <f t="shared" si="1"/>
        <v>55.333333333333336</v>
      </c>
      <c r="S61" s="30">
        <v>56.876131142976462</v>
      </c>
      <c r="U61" s="43">
        <v>119.01598245064243</v>
      </c>
      <c r="V61" s="22">
        <f>IFERROR(VLOOKUP(A56,'Count of Providers as of Jan 18'!A:B,2,FALSE),0)</f>
        <v>3</v>
      </c>
      <c r="W61" s="42">
        <f t="shared" si="2"/>
        <v>-62.139851307665964</v>
      </c>
    </row>
    <row r="62" spans="1:23">
      <c r="A62" s="23" t="s">
        <v>103</v>
      </c>
      <c r="B62" s="24" t="s">
        <v>51</v>
      </c>
      <c r="C62" s="24" t="s">
        <v>51</v>
      </c>
      <c r="D62" s="24">
        <f>VLOOKUP(A62,'[3]2017'!$B:$I,8,FALSE)</f>
        <v>0</v>
      </c>
      <c r="E62" s="25">
        <f t="shared" si="3"/>
        <v>0</v>
      </c>
      <c r="F62" s="26">
        <v>3</v>
      </c>
      <c r="G62" s="24">
        <v>6</v>
      </c>
      <c r="H62" s="24">
        <f>VLOOKUP(A62,'[3]2017'!$B:$D,3,FALSE)</f>
        <v>8</v>
      </c>
      <c r="I62" s="27">
        <f t="shared" si="4"/>
        <v>5.666666666666667</v>
      </c>
      <c r="J62" s="28" t="s">
        <v>99</v>
      </c>
      <c r="K62" s="29">
        <v>333971</v>
      </c>
      <c r="L62" s="29">
        <v>337776</v>
      </c>
      <c r="M62" s="29">
        <v>350576</v>
      </c>
      <c r="N62" s="29">
        <f t="shared" si="0"/>
        <v>340774.33333333331</v>
      </c>
      <c r="O62" s="24">
        <v>199</v>
      </c>
      <c r="P62" s="24">
        <v>155</v>
      </c>
      <c r="Q62" s="24">
        <v>209</v>
      </c>
      <c r="R62" s="27">
        <f t="shared" si="1"/>
        <v>187.66666666666666</v>
      </c>
      <c r="S62" s="30">
        <v>45.325474243493424</v>
      </c>
      <c r="U62" s="43">
        <v>38.91984010098885</v>
      </c>
      <c r="V62" s="22">
        <f>IFERROR(VLOOKUP(A57,'Count of Providers as of Jan 18'!A:B,2,FALSE),0)</f>
        <v>15</v>
      </c>
      <c r="W62" s="42">
        <f t="shared" si="2"/>
        <v>6.4056341425045744</v>
      </c>
    </row>
    <row r="63" spans="1:23">
      <c r="A63" s="23" t="s">
        <v>104</v>
      </c>
      <c r="B63" s="24" t="s">
        <v>51</v>
      </c>
      <c r="C63" s="24" t="s">
        <v>51</v>
      </c>
      <c r="D63" s="24">
        <f>VLOOKUP(A63,'[3]2017'!$B:$I,8,FALSE)</f>
        <v>0</v>
      </c>
      <c r="E63" s="25">
        <f t="shared" si="3"/>
        <v>0</v>
      </c>
      <c r="F63" s="26">
        <v>3</v>
      </c>
      <c r="G63" s="24">
        <v>2</v>
      </c>
      <c r="H63" s="24">
        <f>VLOOKUP(A63,'[3]2017'!$B:$D,3,FALSE)</f>
        <v>4</v>
      </c>
      <c r="I63" s="27">
        <f t="shared" si="4"/>
        <v>3</v>
      </c>
      <c r="J63" s="28" t="s">
        <v>100</v>
      </c>
      <c r="K63" s="29">
        <v>259395</v>
      </c>
      <c r="L63" s="29">
        <v>226639</v>
      </c>
      <c r="M63" s="29">
        <v>226358</v>
      </c>
      <c r="N63" s="29">
        <f t="shared" si="0"/>
        <v>237464</v>
      </c>
      <c r="O63" s="24">
        <v>191</v>
      </c>
      <c r="P63" s="24">
        <v>74</v>
      </c>
      <c r="Q63" s="24">
        <v>121</v>
      </c>
      <c r="R63" s="27">
        <f t="shared" si="1"/>
        <v>128.66666666666666</v>
      </c>
      <c r="S63" s="30">
        <v>35.088406301247332</v>
      </c>
      <c r="U63" s="43">
        <v>46.890722591783884</v>
      </c>
      <c r="V63" s="22">
        <f>IFERROR(VLOOKUP(A58,'Count of Providers as of Jan 18'!A:B,2,FALSE),0)</f>
        <v>4</v>
      </c>
      <c r="W63" s="42">
        <f t="shared" si="2"/>
        <v>-11.802316290536552</v>
      </c>
    </row>
    <row r="64" spans="1:23">
      <c r="A64" s="23" t="s">
        <v>105</v>
      </c>
      <c r="B64" s="24">
        <v>2912</v>
      </c>
      <c r="C64" s="24">
        <v>3151</v>
      </c>
      <c r="D64" s="24">
        <f>VLOOKUP(A64,'[3]2017'!$B:$I,8,FALSE)</f>
        <v>4750</v>
      </c>
      <c r="E64" s="25">
        <f t="shared" si="3"/>
        <v>3604.3333333333335</v>
      </c>
      <c r="F64" s="26">
        <v>34</v>
      </c>
      <c r="G64" s="24">
        <v>14</v>
      </c>
      <c r="H64" s="24">
        <f>VLOOKUP(A64,'[3]2017'!$B:$D,3,FALSE)</f>
        <v>30</v>
      </c>
      <c r="I64" s="27">
        <f t="shared" si="4"/>
        <v>26</v>
      </c>
      <c r="J64" s="28" t="s">
        <v>101</v>
      </c>
      <c r="K64" s="29">
        <v>231820</v>
      </c>
      <c r="L64" s="29">
        <v>265159</v>
      </c>
      <c r="M64" s="29">
        <v>242785</v>
      </c>
      <c r="N64" s="29">
        <f t="shared" si="0"/>
        <v>246588</v>
      </c>
      <c r="O64" s="24">
        <v>64</v>
      </c>
      <c r="P64" s="24">
        <v>63</v>
      </c>
      <c r="Q64" s="24">
        <v>91</v>
      </c>
      <c r="R64" s="27">
        <f t="shared" si="1"/>
        <v>72.666666666666671</v>
      </c>
      <c r="S64" s="30">
        <v>46.560119681525435</v>
      </c>
      <c r="U64" s="43">
        <v>38.91984010098885</v>
      </c>
      <c r="V64" s="22">
        <f>IFERROR(VLOOKUP(A59,'Count of Providers as of Jan 18'!A:B,2,FALSE),0)</f>
        <v>0</v>
      </c>
      <c r="W64" s="42">
        <f t="shared" si="2"/>
        <v>7.6402795805365855</v>
      </c>
    </row>
    <row r="65" spans="1:23">
      <c r="A65" s="23" t="s">
        <v>106</v>
      </c>
      <c r="B65" s="24">
        <v>8210</v>
      </c>
      <c r="C65" s="24">
        <v>6776</v>
      </c>
      <c r="D65" s="24">
        <f>VLOOKUP(A65,'[3]2017'!$B:$I,8,FALSE)</f>
        <v>0</v>
      </c>
      <c r="E65" s="25">
        <f t="shared" si="3"/>
        <v>4995.333333333333</v>
      </c>
      <c r="F65" s="26">
        <v>10</v>
      </c>
      <c r="G65" s="24">
        <v>13</v>
      </c>
      <c r="H65" s="24">
        <f>VLOOKUP(A65,'[3]2017'!$B:$D,3,FALSE)</f>
        <v>8</v>
      </c>
      <c r="I65" s="27">
        <f t="shared" si="4"/>
        <v>10.333333333333334</v>
      </c>
      <c r="J65" s="28" t="s">
        <v>102</v>
      </c>
      <c r="K65" s="29">
        <v>199991</v>
      </c>
      <c r="L65" s="29" t="s">
        <v>51</v>
      </c>
      <c r="M65" s="29">
        <v>0</v>
      </c>
      <c r="N65" s="29">
        <f t="shared" si="0"/>
        <v>99995.5</v>
      </c>
      <c r="O65" s="24">
        <v>12</v>
      </c>
      <c r="P65" s="24">
        <v>9</v>
      </c>
      <c r="Q65" s="24">
        <v>7</v>
      </c>
      <c r="R65" s="27">
        <f t="shared" si="1"/>
        <v>9.3333333333333339</v>
      </c>
      <c r="S65" s="30">
        <v>35.088406301247332</v>
      </c>
      <c r="U65" s="43">
        <v>38.91984010098885</v>
      </c>
      <c r="V65" s="22">
        <f>IFERROR(VLOOKUP(A60,'Count of Providers as of Jan 18'!A:B,2,FALSE),0)</f>
        <v>2</v>
      </c>
      <c r="W65" s="42">
        <f t="shared" si="2"/>
        <v>-3.831433799741518</v>
      </c>
    </row>
    <row r="66" spans="1:23">
      <c r="A66" s="23" t="str">
        <f>J71</f>
        <v>Pathology: Surgical</v>
      </c>
      <c r="F66" s="26"/>
      <c r="I66" s="27"/>
      <c r="J66" s="28" t="s">
        <v>103</v>
      </c>
      <c r="K66" s="29">
        <v>253427</v>
      </c>
      <c r="L66" s="29">
        <v>258692</v>
      </c>
      <c r="M66" s="29">
        <v>0</v>
      </c>
      <c r="N66" s="29">
        <f t="shared" si="0"/>
        <v>170706.33333333334</v>
      </c>
      <c r="O66" s="24">
        <v>10</v>
      </c>
      <c r="P66" s="24">
        <v>14</v>
      </c>
      <c r="Q66" s="24">
        <v>8</v>
      </c>
      <c r="R66" s="27">
        <f t="shared" si="1"/>
        <v>10.666666666666666</v>
      </c>
      <c r="S66" s="30">
        <v>35.088406301247332</v>
      </c>
      <c r="U66" s="43">
        <v>38.91984010098885</v>
      </c>
      <c r="V66" s="22">
        <f>IFERROR(VLOOKUP(A61,'Count of Providers as of Jan 18'!A:B,2,FALSE),0)</f>
        <v>2</v>
      </c>
      <c r="W66" s="42">
        <f t="shared" si="2"/>
        <v>-3.831433799741518</v>
      </c>
    </row>
    <row r="67" spans="1:23">
      <c r="A67" s="23" t="s">
        <v>107</v>
      </c>
      <c r="B67" s="24">
        <v>7467</v>
      </c>
      <c r="C67" s="24">
        <v>6625</v>
      </c>
      <c r="D67" s="24">
        <f>VLOOKUP(A67,'[3]2017'!$B:$I,8,FALSE)</f>
        <v>9778</v>
      </c>
      <c r="E67" s="25">
        <f>IFERROR(AVERAGE(B67:D67),0)</f>
        <v>7956.666666666667</v>
      </c>
      <c r="F67" s="26">
        <v>36</v>
      </c>
      <c r="G67" s="24">
        <v>59</v>
      </c>
      <c r="H67" s="24">
        <f>VLOOKUP(A67,'[3]2017'!$B:$D,3,FALSE)</f>
        <v>25</v>
      </c>
      <c r="I67" s="27">
        <f>AVERAGE(F67:H67)</f>
        <v>40</v>
      </c>
      <c r="J67" s="28" t="s">
        <v>104</v>
      </c>
      <c r="K67" s="29">
        <v>216900</v>
      </c>
      <c r="L67" s="29">
        <v>224300</v>
      </c>
      <c r="M67" s="29">
        <v>236629</v>
      </c>
      <c r="N67" s="29">
        <f t="shared" si="0"/>
        <v>225943</v>
      </c>
      <c r="O67" s="24">
        <v>15</v>
      </c>
      <c r="P67" s="24">
        <v>16</v>
      </c>
      <c r="Q67" s="24">
        <v>11</v>
      </c>
      <c r="R67" s="27">
        <f t="shared" si="1"/>
        <v>14</v>
      </c>
      <c r="S67" s="30">
        <v>35.088406301247332</v>
      </c>
      <c r="U67" s="43">
        <v>38.91984010098885</v>
      </c>
      <c r="V67" s="22">
        <f>IFERROR(VLOOKUP(A62,'Count of Providers as of Jan 18'!A:B,2,FALSE),0)</f>
        <v>2</v>
      </c>
      <c r="W67" s="42">
        <f t="shared" si="2"/>
        <v>-3.831433799741518</v>
      </c>
    </row>
    <row r="68" spans="1:23">
      <c r="A68" s="23" t="s">
        <v>108</v>
      </c>
      <c r="B68" s="24">
        <v>2822</v>
      </c>
      <c r="C68" s="24">
        <v>3252</v>
      </c>
      <c r="D68" s="24">
        <f>VLOOKUP(A68,'[3]2017'!$B:$I,8,FALSE)</f>
        <v>3478</v>
      </c>
      <c r="E68" s="25">
        <f>IFERROR(AVERAGE(B68:D68),0)</f>
        <v>3184</v>
      </c>
      <c r="F68" s="26">
        <v>12</v>
      </c>
      <c r="G68" s="24">
        <v>10</v>
      </c>
      <c r="H68" s="24">
        <f>VLOOKUP(A68,'[3]2017'!$B:$D,3,FALSE)</f>
        <v>17</v>
      </c>
      <c r="I68" s="27">
        <f>AVERAGE(F68:H68)</f>
        <v>13</v>
      </c>
      <c r="J68" s="28" t="s">
        <v>105</v>
      </c>
      <c r="K68" s="29" t="s">
        <v>51</v>
      </c>
      <c r="L68" s="29" t="s">
        <v>51</v>
      </c>
      <c r="M68" s="29">
        <v>0</v>
      </c>
      <c r="N68" s="29">
        <f t="shared" si="0"/>
        <v>0</v>
      </c>
      <c r="O68" s="24">
        <v>7</v>
      </c>
      <c r="P68" s="24">
        <v>4</v>
      </c>
      <c r="Q68" s="24">
        <v>4</v>
      </c>
      <c r="R68" s="27">
        <f t="shared" si="1"/>
        <v>5</v>
      </c>
      <c r="S68" s="30">
        <v>35.088406301247332</v>
      </c>
      <c r="U68" s="43">
        <v>62.10655153996796</v>
      </c>
      <c r="V68" s="22">
        <f>IFERROR(VLOOKUP(A63,'Count of Providers as of Jan 18'!A:B,2,FALSE),0)</f>
        <v>3</v>
      </c>
      <c r="W68" s="42">
        <f t="shared" si="2"/>
        <v>-27.018145238720628</v>
      </c>
    </row>
    <row r="69" spans="1:23">
      <c r="A69" s="23" t="s">
        <v>109</v>
      </c>
      <c r="B69" s="24">
        <v>3741</v>
      </c>
      <c r="C69" s="24">
        <v>4201</v>
      </c>
      <c r="D69" s="24">
        <f>VLOOKUP(A69,'[3]2017'!$B:$I,8,FALSE)</f>
        <v>3505</v>
      </c>
      <c r="E69" s="25">
        <f>IFERROR(AVERAGE(B69:D69),0)</f>
        <v>3815.6666666666665</v>
      </c>
      <c r="F69" s="26">
        <v>22</v>
      </c>
      <c r="G69" s="24">
        <v>15</v>
      </c>
      <c r="H69" s="24">
        <f>VLOOKUP(A69,'[3]2017'!$B:$D,3,FALSE)</f>
        <v>10</v>
      </c>
      <c r="I69" s="27">
        <f>AVERAGE(F69:H69)</f>
        <v>15.666666666666666</v>
      </c>
      <c r="J69" s="28" t="s">
        <v>106</v>
      </c>
      <c r="K69" s="29">
        <v>191652</v>
      </c>
      <c r="L69" s="29">
        <v>206538</v>
      </c>
      <c r="M69" s="29">
        <v>218413</v>
      </c>
      <c r="N69" s="29">
        <f t="shared" si="0"/>
        <v>205534.33333333334</v>
      </c>
      <c r="O69" s="24">
        <v>102</v>
      </c>
      <c r="P69" s="24">
        <v>57</v>
      </c>
      <c r="Q69" s="24">
        <v>105</v>
      </c>
      <c r="R69" s="27">
        <f t="shared" si="1"/>
        <v>88</v>
      </c>
      <c r="S69" s="30">
        <v>65.141092959937765</v>
      </c>
      <c r="U69" s="43">
        <v>38.91984010098885</v>
      </c>
      <c r="V69" s="22">
        <f>IFERROR(VLOOKUP(A64,'Count of Providers as of Jan 18'!A:B,2,FALSE),0)</f>
        <v>8</v>
      </c>
      <c r="W69" s="42">
        <f t="shared" si="2"/>
        <v>26.221252858948915</v>
      </c>
    </row>
    <row r="70" spans="1:23">
      <c r="A70" s="23" t="str">
        <f>J75</f>
        <v>Pediatrics: Cardiology</v>
      </c>
      <c r="F70" s="26"/>
      <c r="I70" s="27"/>
      <c r="J70" s="28" t="s">
        <v>267</v>
      </c>
      <c r="K70" s="29">
        <v>255000</v>
      </c>
      <c r="L70" s="29">
        <v>213277</v>
      </c>
      <c r="M70" s="29">
        <v>212000</v>
      </c>
      <c r="N70" s="29">
        <f t="shared" si="0"/>
        <v>226759</v>
      </c>
      <c r="O70" s="24">
        <v>13</v>
      </c>
      <c r="P70" s="24">
        <v>18</v>
      </c>
      <c r="Q70" s="24">
        <v>17</v>
      </c>
      <c r="R70" s="27">
        <f t="shared" si="1"/>
        <v>16</v>
      </c>
      <c r="S70" s="30">
        <v>35.088406301247332</v>
      </c>
      <c r="U70" s="43">
        <v>62.10655153996796</v>
      </c>
      <c r="V70" s="22">
        <f>IFERROR(VLOOKUP(A65,'Count of Providers as of Jan 18'!A:B,2,FALSE),0)</f>
        <v>5</v>
      </c>
      <c r="W70" s="42">
        <f t="shared" si="2"/>
        <v>-27.018145238720628</v>
      </c>
    </row>
    <row r="71" spans="1:23">
      <c r="A71" s="23" t="s">
        <v>111</v>
      </c>
      <c r="B71" s="24" t="s">
        <v>51</v>
      </c>
      <c r="C71" s="24" t="s">
        <v>51</v>
      </c>
      <c r="D71" s="24">
        <f>VLOOKUP(A71,'[3]2017'!$B:$I,8,FALSE)</f>
        <v>0</v>
      </c>
      <c r="E71" s="25">
        <f>IFERROR(AVERAGE(B71:D71),0)</f>
        <v>0</v>
      </c>
      <c r="F71" s="26">
        <v>4</v>
      </c>
      <c r="G71" s="24">
        <v>3</v>
      </c>
      <c r="H71" s="24">
        <f>VLOOKUP(A71,'[3]2017'!$B:$D,3,FALSE)</f>
        <v>4</v>
      </c>
      <c r="I71" s="27">
        <f>AVERAGE(F71:H71)</f>
        <v>3.6666666666666665</v>
      </c>
      <c r="J71" s="28" t="s">
        <v>107</v>
      </c>
      <c r="K71" s="29">
        <v>230250</v>
      </c>
      <c r="L71" s="29">
        <v>214163</v>
      </c>
      <c r="M71" s="29">
        <v>209040</v>
      </c>
      <c r="N71" s="29">
        <f t="shared" si="0"/>
        <v>217817.66666666666</v>
      </c>
      <c r="O71" s="24">
        <v>10</v>
      </c>
      <c r="P71" s="24">
        <v>11</v>
      </c>
      <c r="Q71" s="24">
        <v>11</v>
      </c>
      <c r="R71" s="27">
        <f t="shared" si="1"/>
        <v>10.666666666666666</v>
      </c>
      <c r="S71" s="30">
        <v>24.688799650113317</v>
      </c>
      <c r="U71" s="43">
        <v>25.756625246310371</v>
      </c>
      <c r="V71" s="22">
        <f>IFERROR(VLOOKUP(A66,'Count of Providers as of Jan 18'!A:B,2,FALSE),0)</f>
        <v>9</v>
      </c>
      <c r="W71" s="42">
        <f t="shared" si="2"/>
        <v>-1.0678255961970535</v>
      </c>
    </row>
    <row r="72" spans="1:23">
      <c r="A72" s="23" t="s">
        <v>112</v>
      </c>
      <c r="B72" s="24">
        <v>4737</v>
      </c>
      <c r="C72" s="24">
        <v>5258</v>
      </c>
      <c r="D72" s="24">
        <f>VLOOKUP(A72,'[3]2017'!$B:$I,8,FALSE)</f>
        <v>5279</v>
      </c>
      <c r="E72" s="25">
        <f>IFERROR(AVERAGE(B72:D72),0)</f>
        <v>5091.333333333333</v>
      </c>
      <c r="F72" s="26">
        <v>147</v>
      </c>
      <c r="G72" s="24">
        <v>90</v>
      </c>
      <c r="H72" s="24">
        <f>VLOOKUP(A72,'[3]2017'!$B:$D,3,FALSE)</f>
        <v>106</v>
      </c>
      <c r="I72" s="27">
        <f>AVERAGE(F72:H72)</f>
        <v>114.33333333333333</v>
      </c>
      <c r="J72" s="28" t="s">
        <v>108</v>
      </c>
      <c r="K72" s="29">
        <v>207948</v>
      </c>
      <c r="L72" s="29">
        <v>218483</v>
      </c>
      <c r="M72" s="29">
        <v>196465</v>
      </c>
      <c r="N72" s="29">
        <f t="shared" ref="N72:N134" si="5">IFERROR(AVERAGE(K72:M72),0)</f>
        <v>207632</v>
      </c>
      <c r="O72" s="24">
        <v>82</v>
      </c>
      <c r="P72" s="24">
        <v>69</v>
      </c>
      <c r="Q72" s="24">
        <v>28</v>
      </c>
      <c r="R72" s="27">
        <f t="shared" ref="R72:R134" si="6">AVERAGE(O72:Q72)</f>
        <v>59.666666666666664</v>
      </c>
      <c r="S72" s="30">
        <v>54.732222800624683</v>
      </c>
      <c r="U72" s="43">
        <v>72.475013220518235</v>
      </c>
      <c r="V72" s="22">
        <f>IFERROR(VLOOKUP(A67,'Count of Providers as of Jan 18'!A:B,2,FALSE),0)</f>
        <v>9</v>
      </c>
      <c r="W72" s="42">
        <f t="shared" ref="W72:W135" si="7">S72-U72</f>
        <v>-17.742790419893552</v>
      </c>
    </row>
    <row r="73" spans="1:23">
      <c r="A73" s="23" t="s">
        <v>113</v>
      </c>
      <c r="B73" s="24" t="s">
        <v>51</v>
      </c>
      <c r="C73" s="24" t="s">
        <v>51</v>
      </c>
      <c r="D73" s="24">
        <f>VLOOKUP(A73,'[3]2017'!$B:$I,8,FALSE)</f>
        <v>9937</v>
      </c>
      <c r="E73" s="25">
        <f>IFERROR(AVERAGE(B73:D73),0)</f>
        <v>9937</v>
      </c>
      <c r="F73" s="26">
        <v>9</v>
      </c>
      <c r="G73" s="24">
        <v>4</v>
      </c>
      <c r="H73" s="24">
        <f>VLOOKUP(A73,'[3]2017'!$B:$D,3,FALSE)</f>
        <v>18</v>
      </c>
      <c r="I73" s="27">
        <f>AVERAGE(F73:H73)</f>
        <v>10.333333333333334</v>
      </c>
      <c r="J73" s="28" t="s">
        <v>109</v>
      </c>
      <c r="K73" s="29">
        <v>153830</v>
      </c>
      <c r="L73" s="29">
        <v>161801</v>
      </c>
      <c r="M73" s="29">
        <v>161083</v>
      </c>
      <c r="N73" s="29">
        <f t="shared" si="5"/>
        <v>158904.66666666666</v>
      </c>
      <c r="O73" s="24">
        <v>39</v>
      </c>
      <c r="P73" s="24">
        <v>31</v>
      </c>
      <c r="Q73" s="24">
        <v>28</v>
      </c>
      <c r="R73" s="27">
        <f t="shared" si="6"/>
        <v>32.666666666666664</v>
      </c>
      <c r="S73" s="30">
        <v>47.224978831498731</v>
      </c>
      <c r="U73" s="43">
        <v>67.160731021555762</v>
      </c>
      <c r="V73" s="22">
        <f>IFERROR(VLOOKUP(A68,'Count of Providers as of Jan 18'!A:B,2,FALSE),0)</f>
        <v>0</v>
      </c>
      <c r="W73" s="42">
        <f t="shared" si="7"/>
        <v>-19.93575219005703</v>
      </c>
    </row>
    <row r="74" spans="1:23">
      <c r="A74" s="23" t="s">
        <v>114</v>
      </c>
      <c r="B74" s="24">
        <v>2839</v>
      </c>
      <c r="C74" s="24">
        <v>1972</v>
      </c>
      <c r="D74" s="24">
        <f>VLOOKUP(A74,'[3]2017'!$B:$I,8,FALSE)</f>
        <v>2295</v>
      </c>
      <c r="E74" s="25">
        <f>IFERROR(AVERAGE(B74:D74),0)</f>
        <v>2368.6666666666665</v>
      </c>
      <c r="F74" s="26">
        <v>23</v>
      </c>
      <c r="G74" s="24">
        <v>14</v>
      </c>
      <c r="H74" s="24">
        <f>VLOOKUP(A74,'[3]2017'!$B:$D,3,FALSE)</f>
        <v>22</v>
      </c>
      <c r="I74" s="27">
        <f>AVERAGE(F74:H74)</f>
        <v>19.666666666666668</v>
      </c>
      <c r="J74" s="28" t="s">
        <v>111</v>
      </c>
      <c r="K74" s="29">
        <v>187430</v>
      </c>
      <c r="L74" s="29">
        <v>169483</v>
      </c>
      <c r="M74" s="29">
        <v>180026</v>
      </c>
      <c r="N74" s="29">
        <f t="shared" si="5"/>
        <v>178979.66666666666</v>
      </c>
      <c r="O74" s="24">
        <v>68</v>
      </c>
      <c r="P74" s="24">
        <v>30</v>
      </c>
      <c r="Q74" s="24">
        <v>35</v>
      </c>
      <c r="R74" s="27">
        <f t="shared" si="6"/>
        <v>44.333333333333336</v>
      </c>
      <c r="S74" s="30">
        <v>54.37</v>
      </c>
      <c r="U74" s="43">
        <v>46.947245228664023</v>
      </c>
      <c r="V74" s="22">
        <f>IFERROR(VLOOKUP(A69,'Count of Providers as of Jan 18'!A:B,2,FALSE),0)</f>
        <v>6</v>
      </c>
      <c r="W74" s="42">
        <f t="shared" si="7"/>
        <v>7.4227547713359741</v>
      </c>
    </row>
    <row r="75" spans="1:23">
      <c r="A75" s="23" t="str">
        <f>J80</f>
        <v>Pediatrics: Emergency Medicine</v>
      </c>
      <c r="F75" s="26"/>
      <c r="I75" s="27"/>
      <c r="J75" s="28" t="s">
        <v>112</v>
      </c>
      <c r="K75" s="29">
        <v>350000</v>
      </c>
      <c r="L75" s="29">
        <v>371992</v>
      </c>
      <c r="M75" s="29">
        <v>373705</v>
      </c>
      <c r="N75" s="29">
        <f t="shared" si="5"/>
        <v>365232.33333333331</v>
      </c>
      <c r="O75" s="24">
        <v>107</v>
      </c>
      <c r="P75" s="24">
        <v>61</v>
      </c>
      <c r="Q75" s="24">
        <v>114</v>
      </c>
      <c r="R75" s="27">
        <f t="shared" si="6"/>
        <v>94</v>
      </c>
      <c r="S75" s="30">
        <v>35.341879746394483</v>
      </c>
      <c r="U75" s="43">
        <v>69.116073339516305</v>
      </c>
      <c r="V75" s="22">
        <f>IFERROR(VLOOKUP(A70,'Count of Providers as of Jan 18'!A:B,2,FALSE),0)</f>
        <v>9</v>
      </c>
      <c r="W75" s="42">
        <f t="shared" si="7"/>
        <v>-33.774193593121822</v>
      </c>
    </row>
    <row r="76" spans="1:23">
      <c r="A76" s="23" t="s">
        <v>115</v>
      </c>
      <c r="B76" s="24">
        <v>6697</v>
      </c>
      <c r="C76" s="24">
        <v>7865</v>
      </c>
      <c r="D76" s="24">
        <f>VLOOKUP(A76,'[3]2017'!$B:$I,8,FALSE)</f>
        <v>6338</v>
      </c>
      <c r="E76" s="25">
        <f t="shared" ref="E76:E105" si="8">IFERROR(AVERAGE(B76:D76),0)</f>
        <v>6966.666666666667</v>
      </c>
      <c r="F76" s="26">
        <v>72</v>
      </c>
      <c r="G76" s="24">
        <v>34</v>
      </c>
      <c r="H76" s="24">
        <f>VLOOKUP(A76,'[3]2017'!$B:$D,3,FALSE)</f>
        <v>74</v>
      </c>
      <c r="I76" s="27">
        <f t="shared" ref="I76:I105" si="9">AVERAGE(F76:H76)</f>
        <v>60</v>
      </c>
      <c r="J76" s="28" t="s">
        <v>113</v>
      </c>
      <c r="K76" s="29">
        <v>209633</v>
      </c>
      <c r="L76" s="29" t="s">
        <v>51</v>
      </c>
      <c r="M76" s="29">
        <v>0</v>
      </c>
      <c r="N76" s="29">
        <f t="shared" si="5"/>
        <v>104816.5</v>
      </c>
      <c r="O76" s="24">
        <v>17</v>
      </c>
      <c r="P76" s="24">
        <v>4</v>
      </c>
      <c r="Q76" s="24">
        <v>12</v>
      </c>
      <c r="R76" s="27">
        <f t="shared" si="6"/>
        <v>11</v>
      </c>
      <c r="S76" s="30">
        <v>51.47819325174116</v>
      </c>
      <c r="T76" s="77" t="s">
        <v>258</v>
      </c>
      <c r="U76" s="43">
        <v>80.28</v>
      </c>
      <c r="V76" s="22">
        <f>IFERROR(VLOOKUP(A71,'Count of Providers as of Jan 18'!A:B,2,FALSE),0)</f>
        <v>0</v>
      </c>
      <c r="W76" s="42">
        <f t="shared" si="7"/>
        <v>-28.801806748258841</v>
      </c>
    </row>
    <row r="77" spans="1:23">
      <c r="A77" s="23" t="s">
        <v>116</v>
      </c>
      <c r="B77" s="24" t="s">
        <v>51</v>
      </c>
      <c r="C77" s="24" t="s">
        <v>51</v>
      </c>
      <c r="D77" s="24">
        <f>VLOOKUP(A77,'[3]2017'!$B:$I,8,FALSE)</f>
        <v>0</v>
      </c>
      <c r="E77" s="25">
        <f t="shared" si="8"/>
        <v>0</v>
      </c>
      <c r="F77" s="26">
        <v>7</v>
      </c>
      <c r="G77" s="24">
        <v>3</v>
      </c>
      <c r="H77" s="24">
        <f>VLOOKUP(A77,'[3]2017'!$B:$D,3,FALSE)</f>
        <v>5</v>
      </c>
      <c r="I77" s="27">
        <f t="shared" si="9"/>
        <v>5</v>
      </c>
      <c r="J77" s="28" t="s">
        <v>114</v>
      </c>
      <c r="K77" s="29">
        <v>249287</v>
      </c>
      <c r="L77" s="29">
        <v>251500</v>
      </c>
      <c r="M77" s="29">
        <v>238591</v>
      </c>
      <c r="N77" s="29">
        <f t="shared" si="5"/>
        <v>246459.33333333334</v>
      </c>
      <c r="O77" s="24">
        <v>276</v>
      </c>
      <c r="P77" s="24">
        <v>207</v>
      </c>
      <c r="Q77" s="24">
        <v>192</v>
      </c>
      <c r="R77" s="27">
        <f t="shared" si="6"/>
        <v>225</v>
      </c>
      <c r="S77" s="30">
        <v>35.341879746394483</v>
      </c>
      <c r="T77" s="77"/>
      <c r="U77" s="43">
        <v>82.628761003810283</v>
      </c>
      <c r="V77" s="22">
        <f>IFERROR(VLOOKUP(A72,'Count of Providers as of Jan 18'!A:B,2,FALSE),0)</f>
        <v>9</v>
      </c>
      <c r="W77" s="42">
        <f t="shared" si="7"/>
        <v>-47.2868812574158</v>
      </c>
    </row>
    <row r="78" spans="1:23">
      <c r="A78" s="23" t="s">
        <v>117</v>
      </c>
      <c r="B78" s="24">
        <v>6170</v>
      </c>
      <c r="C78" s="24">
        <v>6993</v>
      </c>
      <c r="D78" s="24">
        <f>VLOOKUP(A78,'[3]2017'!$B:$I,8,FALSE)</f>
        <v>6614</v>
      </c>
      <c r="E78" s="25">
        <f t="shared" si="8"/>
        <v>6592.333333333333</v>
      </c>
      <c r="F78" s="26">
        <v>57</v>
      </c>
      <c r="G78" s="24">
        <v>71</v>
      </c>
      <c r="H78" s="24">
        <f>VLOOKUP(A78,'[3]2017'!$B:$D,3,FALSE)</f>
        <v>60</v>
      </c>
      <c r="I78" s="27">
        <f t="shared" si="9"/>
        <v>62.666666666666664</v>
      </c>
      <c r="J78" s="28" t="s">
        <v>115</v>
      </c>
      <c r="K78" s="29">
        <v>516400</v>
      </c>
      <c r="L78" s="29">
        <v>642041</v>
      </c>
      <c r="M78" s="29">
        <v>494876</v>
      </c>
      <c r="N78" s="29">
        <f t="shared" si="5"/>
        <v>551105.66666666663</v>
      </c>
      <c r="O78" s="24">
        <v>15</v>
      </c>
      <c r="P78" s="24">
        <v>13</v>
      </c>
      <c r="Q78" s="24">
        <v>19</v>
      </c>
      <c r="R78" s="27">
        <f t="shared" si="6"/>
        <v>15.666666666666666</v>
      </c>
      <c r="S78" s="30">
        <v>71.897409926204602</v>
      </c>
      <c r="U78" s="43">
        <v>51.564436183395294</v>
      </c>
      <c r="V78" s="22">
        <f>IFERROR(VLOOKUP(A73,'Count of Providers as of Jan 18'!A:B,2,FALSE),0)</f>
        <v>0</v>
      </c>
      <c r="W78" s="42">
        <f t="shared" si="7"/>
        <v>20.332973742809308</v>
      </c>
    </row>
    <row r="79" spans="1:23">
      <c r="A79" s="23" t="s">
        <v>118</v>
      </c>
      <c r="B79" s="24">
        <v>3167</v>
      </c>
      <c r="C79" s="24">
        <v>3877</v>
      </c>
      <c r="D79" s="24">
        <f>VLOOKUP(A79,'[3]2017'!$B:$I,8,FALSE)</f>
        <v>3499</v>
      </c>
      <c r="E79" s="25">
        <f t="shared" si="8"/>
        <v>3514.3333333333335</v>
      </c>
      <c r="F79" s="26">
        <v>43</v>
      </c>
      <c r="G79" s="24">
        <v>43</v>
      </c>
      <c r="H79" s="24">
        <f>VLOOKUP(A79,'[3]2017'!$B:$D,3,FALSE)</f>
        <v>52</v>
      </c>
      <c r="I79" s="27">
        <f t="shared" si="9"/>
        <v>46</v>
      </c>
      <c r="J79" s="28" t="s">
        <v>116</v>
      </c>
      <c r="K79" s="29">
        <v>162286</v>
      </c>
      <c r="L79" s="29">
        <v>158849</v>
      </c>
      <c r="M79" s="29">
        <v>160629</v>
      </c>
      <c r="N79" s="29">
        <f t="shared" si="5"/>
        <v>160588</v>
      </c>
      <c r="O79" s="24">
        <v>77</v>
      </c>
      <c r="P79" s="24">
        <v>62</v>
      </c>
      <c r="Q79" s="24">
        <v>43</v>
      </c>
      <c r="R79" s="27">
        <f t="shared" si="6"/>
        <v>60.666666666666664</v>
      </c>
      <c r="S79" s="30">
        <v>37.439371257485028</v>
      </c>
      <c r="T79" s="77" t="s">
        <v>258</v>
      </c>
      <c r="U79" s="43">
        <v>81.3</v>
      </c>
      <c r="V79" s="22">
        <f>IFERROR(VLOOKUP(A74,'Count of Providers as of Jan 18'!A:B,2,FALSE),0)</f>
        <v>0</v>
      </c>
      <c r="W79" s="42">
        <f t="shared" si="7"/>
        <v>-43.860628742514969</v>
      </c>
    </row>
    <row r="80" spans="1:23">
      <c r="A80" s="23" t="s">
        <v>119</v>
      </c>
      <c r="B80" s="24">
        <v>4641</v>
      </c>
      <c r="C80" s="24">
        <v>4551</v>
      </c>
      <c r="D80" s="24">
        <f>VLOOKUP(A80,'[3]2017'!$B:$I,8,FALSE)</f>
        <v>4399</v>
      </c>
      <c r="E80" s="25">
        <f t="shared" si="8"/>
        <v>4530.333333333333</v>
      </c>
      <c r="F80" s="26">
        <v>85</v>
      </c>
      <c r="G80" s="24">
        <v>60</v>
      </c>
      <c r="H80" s="24">
        <f>VLOOKUP(A80,'[3]2017'!$B:$D,3,FALSE)</f>
        <v>59</v>
      </c>
      <c r="I80" s="27">
        <f t="shared" si="9"/>
        <v>68</v>
      </c>
      <c r="J80" s="28" t="s">
        <v>117</v>
      </c>
      <c r="K80" s="29" t="s">
        <v>51</v>
      </c>
      <c r="L80" s="29" t="s">
        <v>51</v>
      </c>
      <c r="M80" s="29" t="e">
        <v>#N/A</v>
      </c>
      <c r="N80" s="29">
        <f t="shared" si="5"/>
        <v>0</v>
      </c>
      <c r="O80" s="24">
        <v>1</v>
      </c>
      <c r="P80" s="24" t="s">
        <v>51</v>
      </c>
      <c r="Q80" s="24" t="e">
        <v>#N/A</v>
      </c>
      <c r="R80" s="27" t="e">
        <f t="shared" si="6"/>
        <v>#N/A</v>
      </c>
      <c r="S80" s="30">
        <v>48.44332570556827</v>
      </c>
      <c r="T80" s="77"/>
      <c r="U80" s="43">
        <v>49.599237673010379</v>
      </c>
      <c r="V80" s="22">
        <f>IFERROR(VLOOKUP(A75,'Count of Providers as of Jan 18'!A:B,2,FALSE),0)</f>
        <v>8</v>
      </c>
      <c r="W80" s="42">
        <f t="shared" si="7"/>
        <v>-1.1559119674421083</v>
      </c>
    </row>
    <row r="81" spans="1:23">
      <c r="A81" s="23" t="s">
        <v>120</v>
      </c>
      <c r="B81" s="24">
        <v>4247</v>
      </c>
      <c r="C81" s="24">
        <v>4513</v>
      </c>
      <c r="D81" s="24">
        <f>VLOOKUP(A81,'[3]2017'!$B:$I,8,FALSE)</f>
        <v>5119</v>
      </c>
      <c r="E81" s="25">
        <f t="shared" si="8"/>
        <v>4626.333333333333</v>
      </c>
      <c r="F81" s="26">
        <v>105</v>
      </c>
      <c r="G81" s="24">
        <v>152</v>
      </c>
      <c r="H81" s="24">
        <f>VLOOKUP(A81,'[3]2017'!$B:$D,3,FALSE)</f>
        <v>182</v>
      </c>
      <c r="I81" s="27">
        <f t="shared" si="9"/>
        <v>146.33333333333334</v>
      </c>
      <c r="J81" s="28" t="s">
        <v>118</v>
      </c>
      <c r="K81" s="29">
        <v>230151</v>
      </c>
      <c r="L81" s="29">
        <v>249740</v>
      </c>
      <c r="M81" s="29">
        <v>247095</v>
      </c>
      <c r="N81" s="29">
        <f t="shared" si="5"/>
        <v>242328.66666666666</v>
      </c>
      <c r="O81" s="24">
        <v>153</v>
      </c>
      <c r="P81" s="24">
        <v>77</v>
      </c>
      <c r="Q81" s="24">
        <v>121</v>
      </c>
      <c r="R81" s="27">
        <f t="shared" si="6"/>
        <v>117</v>
      </c>
      <c r="S81" s="30">
        <v>36.678759417896586</v>
      </c>
      <c r="U81" s="43">
        <v>68.202964710709892</v>
      </c>
      <c r="V81" s="22">
        <f>IFERROR(VLOOKUP(A76,'Count of Providers as of Jan 18'!A:B,2,FALSE),0)</f>
        <v>9</v>
      </c>
      <c r="W81" s="42">
        <f t="shared" si="7"/>
        <v>-31.524205292813306</v>
      </c>
    </row>
    <row r="82" spans="1:23">
      <c r="A82" s="23" t="s">
        <v>121</v>
      </c>
      <c r="B82" s="24">
        <v>1810</v>
      </c>
      <c r="C82" s="24">
        <v>2759</v>
      </c>
      <c r="D82" s="24">
        <f>VLOOKUP(A82,'[3]2017'!$B:$I,8,FALSE)</f>
        <v>1996</v>
      </c>
      <c r="E82" s="25">
        <f t="shared" si="8"/>
        <v>2188.3333333333335</v>
      </c>
      <c r="F82" s="26">
        <v>14</v>
      </c>
      <c r="G82" s="24">
        <v>12</v>
      </c>
      <c r="H82" s="24">
        <f>VLOOKUP(A82,'[3]2017'!$B:$D,3,FALSE)</f>
        <v>16</v>
      </c>
      <c r="I82" s="27">
        <f t="shared" si="9"/>
        <v>14</v>
      </c>
      <c r="J82" s="28" t="s">
        <v>119</v>
      </c>
      <c r="K82" s="29">
        <v>236500</v>
      </c>
      <c r="L82" s="29" t="s">
        <v>51</v>
      </c>
      <c r="M82" s="29">
        <v>328857</v>
      </c>
      <c r="N82" s="29">
        <f t="shared" si="5"/>
        <v>282678.5</v>
      </c>
      <c r="O82" s="24">
        <v>17</v>
      </c>
      <c r="P82" s="24">
        <v>3</v>
      </c>
      <c r="Q82" s="24">
        <v>10</v>
      </c>
      <c r="R82" s="27">
        <f t="shared" si="6"/>
        <v>10</v>
      </c>
      <c r="S82" s="30">
        <v>48.437795713888114</v>
      </c>
      <c r="U82" s="43">
        <v>67.597048119692687</v>
      </c>
      <c r="V82" s="22">
        <f>IFERROR(VLOOKUP(A77,'Count of Providers as of Jan 18'!A:B,2,FALSE),0)</f>
        <v>3</v>
      </c>
      <c r="W82" s="42">
        <f t="shared" si="7"/>
        <v>-19.159252405804573</v>
      </c>
    </row>
    <row r="83" spans="1:23">
      <c r="A83" s="23" t="s">
        <v>122</v>
      </c>
      <c r="B83" s="24">
        <v>3060</v>
      </c>
      <c r="C83" s="24">
        <v>4170</v>
      </c>
      <c r="D83" s="24">
        <f>VLOOKUP(A83,'[3]2017'!$B:$I,8,FALSE)</f>
        <v>4245</v>
      </c>
      <c r="E83" s="25">
        <f t="shared" si="8"/>
        <v>3825</v>
      </c>
      <c r="F83" s="26">
        <v>67</v>
      </c>
      <c r="G83" s="24">
        <v>32</v>
      </c>
      <c r="H83" s="24">
        <f>VLOOKUP(A83,'[3]2017'!$B:$D,3,FALSE)</f>
        <v>47</v>
      </c>
      <c r="I83" s="27">
        <f t="shared" si="9"/>
        <v>48.666666666666664</v>
      </c>
      <c r="J83" s="28" t="s">
        <v>120</v>
      </c>
      <c r="K83" s="29">
        <v>215956</v>
      </c>
      <c r="L83" s="29">
        <v>229654</v>
      </c>
      <c r="M83" s="29">
        <v>232577</v>
      </c>
      <c r="N83" s="29">
        <f t="shared" si="5"/>
        <v>226062.33333333334</v>
      </c>
      <c r="O83" s="24">
        <v>188</v>
      </c>
      <c r="P83" s="24">
        <v>137</v>
      </c>
      <c r="Q83" s="24">
        <v>111</v>
      </c>
      <c r="R83" s="27">
        <f t="shared" si="6"/>
        <v>145.33333333333334</v>
      </c>
      <c r="S83" s="30">
        <v>50.035134517186187</v>
      </c>
      <c r="U83" s="43">
        <v>46.947245228664023</v>
      </c>
      <c r="V83" s="22">
        <f>IFERROR(VLOOKUP(A78,'Count of Providers as of Jan 18'!A:B,2,FALSE),0)</f>
        <v>8</v>
      </c>
      <c r="W83" s="42">
        <f t="shared" si="7"/>
        <v>3.0878892885221632</v>
      </c>
    </row>
    <row r="84" spans="1:23">
      <c r="A84" s="23" t="s">
        <v>123</v>
      </c>
      <c r="B84" s="24">
        <v>2744</v>
      </c>
      <c r="C84" s="24">
        <v>3202</v>
      </c>
      <c r="D84" s="24">
        <f>VLOOKUP(A84,'[3]2017'!$B:$I,8,FALSE)</f>
        <v>3384</v>
      </c>
      <c r="E84" s="25">
        <f t="shared" si="8"/>
        <v>3110</v>
      </c>
      <c r="F84" s="26">
        <v>59</v>
      </c>
      <c r="G84" s="24">
        <v>64</v>
      </c>
      <c r="H84" s="24">
        <f>VLOOKUP(A84,'[3]2017'!$B:$D,3,FALSE)</f>
        <v>105</v>
      </c>
      <c r="I84" s="27">
        <f t="shared" si="9"/>
        <v>76</v>
      </c>
      <c r="J84" s="28" t="s">
        <v>121</v>
      </c>
      <c r="K84" s="29">
        <v>161253</v>
      </c>
      <c r="L84" s="29">
        <v>166675</v>
      </c>
      <c r="M84" s="29">
        <v>172712</v>
      </c>
      <c r="N84" s="29">
        <f t="shared" si="5"/>
        <v>166880</v>
      </c>
      <c r="O84" s="24">
        <v>137</v>
      </c>
      <c r="P84" s="24">
        <v>89</v>
      </c>
      <c r="Q84" s="24">
        <v>90</v>
      </c>
      <c r="R84" s="27">
        <f t="shared" si="6"/>
        <v>105.33333333333333</v>
      </c>
      <c r="S84" s="30">
        <v>35.341879746394483</v>
      </c>
      <c r="U84" s="43">
        <v>104.22491105840498</v>
      </c>
      <c r="V84" s="22">
        <f>IFERROR(VLOOKUP(A79,'Count of Providers as of Jan 18'!A:B,2,FALSE),0)</f>
        <v>6</v>
      </c>
      <c r="W84" s="42">
        <f t="shared" si="7"/>
        <v>-68.883031312010502</v>
      </c>
    </row>
    <row r="85" spans="1:23">
      <c r="A85" s="23" t="s">
        <v>124</v>
      </c>
      <c r="B85" s="24" t="s">
        <v>51</v>
      </c>
      <c r="C85" s="24" t="s">
        <v>51</v>
      </c>
      <c r="D85" s="24">
        <f>VLOOKUP(A85,'[3]2017'!$B:$I,8,FALSE)</f>
        <v>0</v>
      </c>
      <c r="E85" s="25">
        <f t="shared" si="8"/>
        <v>0</v>
      </c>
      <c r="F85" s="26">
        <v>2</v>
      </c>
      <c r="G85" s="24">
        <v>1</v>
      </c>
      <c r="H85" s="24">
        <f>VLOOKUP(A85,'[3]2017'!$B:$D,3,FALSE)</f>
        <v>1</v>
      </c>
      <c r="I85" s="27">
        <f t="shared" si="9"/>
        <v>1.3333333333333333</v>
      </c>
      <c r="J85" s="28" t="s">
        <v>122</v>
      </c>
      <c r="K85" s="29">
        <v>213175</v>
      </c>
      <c r="L85" s="29">
        <v>213881</v>
      </c>
      <c r="M85" s="29">
        <v>208885</v>
      </c>
      <c r="N85" s="29">
        <f t="shared" si="5"/>
        <v>211980.33333333334</v>
      </c>
      <c r="O85" s="24">
        <v>168</v>
      </c>
      <c r="P85" s="24">
        <v>107</v>
      </c>
      <c r="Q85" s="24">
        <v>98</v>
      </c>
      <c r="R85" s="27">
        <f t="shared" si="6"/>
        <v>124.33333333333333</v>
      </c>
      <c r="S85" s="30">
        <v>77.926210495795885</v>
      </c>
      <c r="U85" s="43">
        <v>68.820683824910773</v>
      </c>
      <c r="V85" s="22">
        <f>IFERROR(VLOOKUP(A80,'Count of Providers as of Jan 18'!A:B,2,FALSE),0)</f>
        <v>8</v>
      </c>
      <c r="W85" s="42">
        <f t="shared" si="7"/>
        <v>9.1055266708851121</v>
      </c>
    </row>
    <row r="86" spans="1:23">
      <c r="A86" s="23" t="s">
        <v>125</v>
      </c>
      <c r="B86" s="24">
        <v>2530</v>
      </c>
      <c r="C86" s="24" t="s">
        <v>51</v>
      </c>
      <c r="D86" s="24">
        <f>VLOOKUP(A86,'[3]2017'!$B:$I,8,FALSE)</f>
        <v>2853</v>
      </c>
      <c r="E86" s="25">
        <f t="shared" si="8"/>
        <v>2691.5</v>
      </c>
      <c r="F86" s="26">
        <v>16</v>
      </c>
      <c r="G86" s="24">
        <v>6</v>
      </c>
      <c r="H86" s="24">
        <f>VLOOKUP(A86,'[3]2017'!$B:$D,3,FALSE)</f>
        <v>16</v>
      </c>
      <c r="I86" s="27">
        <f t="shared" si="9"/>
        <v>12.666666666666666</v>
      </c>
      <c r="J86" s="28" t="s">
        <v>123</v>
      </c>
      <c r="K86" s="29">
        <v>153063</v>
      </c>
      <c r="L86" s="29">
        <v>154062</v>
      </c>
      <c r="M86" s="29">
        <v>168492</v>
      </c>
      <c r="N86" s="29">
        <f t="shared" si="5"/>
        <v>158539</v>
      </c>
      <c r="O86" s="24">
        <v>444</v>
      </c>
      <c r="P86" s="24">
        <v>429</v>
      </c>
      <c r="Q86" s="24">
        <v>268</v>
      </c>
      <c r="R86" s="27">
        <f t="shared" si="6"/>
        <v>380.33333333333331</v>
      </c>
      <c r="S86" s="30">
        <v>47.951882132515756</v>
      </c>
      <c r="U86" s="43">
        <v>81.110286412853654</v>
      </c>
      <c r="V86" s="22">
        <f>IFERROR(VLOOKUP(A81,'Count of Providers as of Jan 18'!A:B,2,FALSE),0)</f>
        <v>17</v>
      </c>
      <c r="W86" s="42">
        <f t="shared" si="7"/>
        <v>-33.158404280337898</v>
      </c>
    </row>
    <row r="87" spans="1:23">
      <c r="A87" s="23" t="s">
        <v>126</v>
      </c>
      <c r="B87" s="24" t="s">
        <v>51</v>
      </c>
      <c r="C87" s="24" t="s">
        <v>51</v>
      </c>
      <c r="D87" s="24">
        <f>VLOOKUP(A87,'[3]2017'!$B:$I,8,FALSE)</f>
        <v>0</v>
      </c>
      <c r="E87" s="25">
        <f t="shared" si="8"/>
        <v>0</v>
      </c>
      <c r="F87" s="26">
        <v>4</v>
      </c>
      <c r="G87" s="24">
        <v>4</v>
      </c>
      <c r="H87" s="24">
        <f>VLOOKUP(A87,'[3]2017'!$B:$D,3,FALSE)</f>
        <v>3</v>
      </c>
      <c r="I87" s="27">
        <f t="shared" si="9"/>
        <v>3.6666666666666665</v>
      </c>
      <c r="J87" s="28" t="s">
        <v>124</v>
      </c>
      <c r="K87" s="29">
        <v>175503</v>
      </c>
      <c r="L87" s="29">
        <v>166293</v>
      </c>
      <c r="M87" s="29">
        <v>185889</v>
      </c>
      <c r="N87" s="29">
        <f t="shared" si="5"/>
        <v>175895</v>
      </c>
      <c r="O87" s="24">
        <v>54</v>
      </c>
      <c r="P87" s="24">
        <v>43</v>
      </c>
      <c r="Q87" s="24">
        <v>34</v>
      </c>
      <c r="R87" s="27">
        <f t="shared" si="6"/>
        <v>43.666666666666664</v>
      </c>
      <c r="S87" s="30">
        <v>54.72942874819551</v>
      </c>
      <c r="U87" s="43">
        <v>46.947245228664023</v>
      </c>
      <c r="V87" s="22">
        <f>IFERROR(VLOOKUP(A82,'Count of Providers as of Jan 18'!A:B,2,FALSE),0)</f>
        <v>7</v>
      </c>
      <c r="W87" s="42">
        <f t="shared" si="7"/>
        <v>7.7821835195314861</v>
      </c>
    </row>
    <row r="88" spans="1:23">
      <c r="A88" s="23" t="s">
        <v>127</v>
      </c>
      <c r="B88" s="24">
        <v>10596</v>
      </c>
      <c r="C88" s="24">
        <v>12037</v>
      </c>
      <c r="D88" s="24">
        <f>VLOOKUP(A88,'[3]2017'!$B:$I,8,FALSE)</f>
        <v>12163</v>
      </c>
      <c r="E88" s="25">
        <f t="shared" si="8"/>
        <v>11598.666666666666</v>
      </c>
      <c r="F88" s="26">
        <v>147</v>
      </c>
      <c r="G88" s="24">
        <v>103</v>
      </c>
      <c r="H88" s="24">
        <f>VLOOKUP(A88,'[3]2017'!$B:$D,3,FALSE)</f>
        <v>146</v>
      </c>
      <c r="I88" s="27">
        <f t="shared" si="9"/>
        <v>132</v>
      </c>
      <c r="J88" s="28" t="s">
        <v>125</v>
      </c>
      <c r="K88" s="29">
        <v>180857</v>
      </c>
      <c r="L88" s="29">
        <v>178156</v>
      </c>
      <c r="M88" s="29">
        <v>187367</v>
      </c>
      <c r="N88" s="29">
        <f t="shared" si="5"/>
        <v>182126.66666666666</v>
      </c>
      <c r="O88" s="24">
        <v>242</v>
      </c>
      <c r="P88" s="24">
        <v>113</v>
      </c>
      <c r="Q88" s="24">
        <v>115</v>
      </c>
      <c r="R88" s="27">
        <f t="shared" si="6"/>
        <v>156.66666666666666</v>
      </c>
      <c r="S88" s="30">
        <v>35.341879746394483</v>
      </c>
      <c r="T88" s="77" t="s">
        <v>258</v>
      </c>
      <c r="U88" s="43">
        <v>79.879612379935963</v>
      </c>
      <c r="V88" s="22">
        <f>IFERROR(VLOOKUP(A83,'Count of Providers as of Jan 18'!A:B,2,FALSE),0)</f>
        <v>13</v>
      </c>
      <c r="W88" s="42">
        <f t="shared" si="7"/>
        <v>-44.537732633541481</v>
      </c>
    </row>
    <row r="89" spans="1:23">
      <c r="A89" s="23" t="s">
        <v>128</v>
      </c>
      <c r="B89" s="24">
        <v>3685</v>
      </c>
      <c r="C89" s="24">
        <v>3522</v>
      </c>
      <c r="D89" s="24">
        <f>VLOOKUP(A89,'[3]2017'!$B:$I,8,FALSE)</f>
        <v>3867</v>
      </c>
      <c r="E89" s="25">
        <f t="shared" si="8"/>
        <v>3691.3333333333335</v>
      </c>
      <c r="F89" s="26">
        <v>38</v>
      </c>
      <c r="G89" s="24">
        <v>21</v>
      </c>
      <c r="H89" s="24">
        <f>VLOOKUP(A89,'[3]2017'!$B:$D,3,FALSE)</f>
        <v>28</v>
      </c>
      <c r="I89" s="27">
        <f t="shared" si="9"/>
        <v>29</v>
      </c>
      <c r="J89" s="28" t="s">
        <v>126</v>
      </c>
      <c r="K89" s="29">
        <v>163823</v>
      </c>
      <c r="L89" s="29">
        <v>168728</v>
      </c>
      <c r="M89" s="29">
        <v>176188</v>
      </c>
      <c r="N89" s="29">
        <f t="shared" si="5"/>
        <v>169579.66666666666</v>
      </c>
      <c r="O89" s="24">
        <v>194</v>
      </c>
      <c r="P89" s="24">
        <v>149</v>
      </c>
      <c r="Q89" s="24">
        <v>142</v>
      </c>
      <c r="R89" s="27">
        <f t="shared" si="6"/>
        <v>161.66666666666666</v>
      </c>
      <c r="S89" s="30">
        <v>35.341879746394483</v>
      </c>
      <c r="T89" s="77"/>
      <c r="U89" s="43">
        <v>46.947245228664023</v>
      </c>
      <c r="V89" s="22">
        <f>IFERROR(VLOOKUP(A84,'Count of Providers as of Jan 18'!A:B,2,FALSE),0)</f>
        <v>14</v>
      </c>
      <c r="W89" s="42">
        <f t="shared" si="7"/>
        <v>-11.605365482269541</v>
      </c>
    </row>
    <row r="90" spans="1:23">
      <c r="A90" s="23" t="s">
        <v>129</v>
      </c>
      <c r="B90" s="24">
        <v>8491</v>
      </c>
      <c r="C90" s="24" t="s">
        <v>51</v>
      </c>
      <c r="D90" s="24">
        <f>VLOOKUP(A90,'[3]2017'!$B:$I,8,FALSE)</f>
        <v>0</v>
      </c>
      <c r="E90" s="25">
        <f t="shared" si="8"/>
        <v>4245.5</v>
      </c>
      <c r="F90" s="26">
        <v>11</v>
      </c>
      <c r="G90" s="24">
        <v>8</v>
      </c>
      <c r="H90" s="24">
        <f>VLOOKUP(A90,'[3]2017'!$B:$D,3,FALSE)</f>
        <v>7</v>
      </c>
      <c r="I90" s="27">
        <f t="shared" si="9"/>
        <v>8.6666666666666661</v>
      </c>
      <c r="J90" s="28" t="s">
        <v>127</v>
      </c>
      <c r="K90" s="29" t="s">
        <v>51</v>
      </c>
      <c r="L90" s="29" t="s">
        <v>51</v>
      </c>
      <c r="M90" s="29">
        <v>0</v>
      </c>
      <c r="N90" s="29">
        <f t="shared" si="5"/>
        <v>0</v>
      </c>
      <c r="O90" s="24">
        <v>3</v>
      </c>
      <c r="P90" s="24">
        <v>2</v>
      </c>
      <c r="Q90" s="24">
        <v>1</v>
      </c>
      <c r="R90" s="27">
        <f t="shared" si="6"/>
        <v>2</v>
      </c>
      <c r="S90" s="30">
        <v>35.341879746394483</v>
      </c>
      <c r="U90" s="43">
        <v>29.213066551921976</v>
      </c>
      <c r="V90" s="22">
        <f>IFERROR(VLOOKUP(A85,'Count of Providers as of Jan 18'!A:B,2,FALSE),0)</f>
        <v>0</v>
      </c>
      <c r="W90" s="42">
        <f t="shared" si="7"/>
        <v>6.1288131944725066</v>
      </c>
    </row>
    <row r="91" spans="1:23">
      <c r="A91" s="23" t="s">
        <v>130</v>
      </c>
      <c r="B91" s="24">
        <v>4685</v>
      </c>
      <c r="C91" s="24">
        <v>3988</v>
      </c>
      <c r="D91" s="24">
        <f>VLOOKUP(A91,'[3]2017'!$B:$I,8,FALSE)</f>
        <v>3820</v>
      </c>
      <c r="E91" s="25">
        <f t="shared" si="8"/>
        <v>4164.333333333333</v>
      </c>
      <c r="F91" s="26">
        <v>70</v>
      </c>
      <c r="G91" s="24">
        <v>56</v>
      </c>
      <c r="H91" s="24">
        <f>VLOOKUP(A91,'[3]2017'!$B:$D,3,FALSE)</f>
        <v>65</v>
      </c>
      <c r="I91" s="27">
        <f t="shared" si="9"/>
        <v>63.666666666666664</v>
      </c>
      <c r="J91" s="28" t="s">
        <v>128</v>
      </c>
      <c r="K91" s="29">
        <v>160009</v>
      </c>
      <c r="L91" s="29">
        <v>161704</v>
      </c>
      <c r="M91" s="29">
        <v>162365</v>
      </c>
      <c r="N91" s="29">
        <f t="shared" si="5"/>
        <v>161359.33333333334</v>
      </c>
      <c r="O91" s="24">
        <v>112</v>
      </c>
      <c r="P91" s="24">
        <v>74</v>
      </c>
      <c r="Q91" s="24">
        <v>62</v>
      </c>
      <c r="R91" s="27">
        <f t="shared" si="6"/>
        <v>82.666666666666671</v>
      </c>
      <c r="S91" s="30">
        <v>21.713552218922594</v>
      </c>
      <c r="T91" s="77"/>
      <c r="U91" s="43">
        <v>70.039845819144915</v>
      </c>
      <c r="V91" s="22">
        <f>IFERROR(VLOOKUP(A86,'Count of Providers as of Jan 18'!A:B,2,FALSE),0)</f>
        <v>4</v>
      </c>
      <c r="W91" s="42">
        <f t="shared" si="7"/>
        <v>-48.326293600222321</v>
      </c>
    </row>
    <row r="92" spans="1:23">
      <c r="A92" s="23" t="s">
        <v>131</v>
      </c>
      <c r="B92" s="24">
        <v>6869</v>
      </c>
      <c r="C92" s="24">
        <v>6969</v>
      </c>
      <c r="D92" s="24">
        <f>VLOOKUP(A92,'[3]2017'!$B:$I,8,FALSE)</f>
        <v>8257</v>
      </c>
      <c r="E92" s="25">
        <f t="shared" si="8"/>
        <v>7365</v>
      </c>
      <c r="F92" s="26">
        <v>19</v>
      </c>
      <c r="G92" s="24">
        <v>21</v>
      </c>
      <c r="H92" s="24">
        <f>VLOOKUP(A92,'[3]2017'!$B:$D,3,FALSE)</f>
        <v>19</v>
      </c>
      <c r="I92" s="27">
        <f t="shared" si="9"/>
        <v>19.666666666666668</v>
      </c>
      <c r="J92" s="28" t="s">
        <v>268</v>
      </c>
      <c r="K92" s="29">
        <v>152975</v>
      </c>
      <c r="L92" s="29">
        <v>164785</v>
      </c>
      <c r="M92" s="29">
        <v>198511</v>
      </c>
      <c r="N92" s="29">
        <f t="shared" si="5"/>
        <v>172090.33333333334</v>
      </c>
      <c r="O92" s="24">
        <v>10</v>
      </c>
      <c r="P92" s="24">
        <v>15</v>
      </c>
      <c r="Q92" s="24">
        <v>14</v>
      </c>
      <c r="R92" s="27">
        <f t="shared" si="6"/>
        <v>13</v>
      </c>
      <c r="S92" s="30">
        <v>53.432077044170754</v>
      </c>
      <c r="T92" s="77" t="s">
        <v>258</v>
      </c>
      <c r="U92" s="43">
        <v>126.47761629240001</v>
      </c>
      <c r="V92" s="22">
        <f>IFERROR(VLOOKUP(A87,'Count of Providers as of Jan 18'!A:B,2,FALSE),0)</f>
        <v>0</v>
      </c>
      <c r="W92" s="42">
        <f t="shared" si="7"/>
        <v>-73.045539248229261</v>
      </c>
    </row>
    <row r="93" spans="1:23">
      <c r="A93" s="23" t="s">
        <v>132</v>
      </c>
      <c r="B93" s="24">
        <v>7293</v>
      </c>
      <c r="C93" s="24">
        <v>8046</v>
      </c>
      <c r="D93" s="24">
        <f>VLOOKUP(A93,'[3]2017'!$B:$I,8,FALSE)</f>
        <v>6934</v>
      </c>
      <c r="E93" s="25">
        <f t="shared" si="8"/>
        <v>7424.333333333333</v>
      </c>
      <c r="F93" s="26">
        <v>71</v>
      </c>
      <c r="G93" s="24">
        <v>38</v>
      </c>
      <c r="H93" s="24">
        <f>VLOOKUP(A93,'[3]2017'!$B:$D,3,FALSE)</f>
        <v>43</v>
      </c>
      <c r="I93" s="27">
        <f t="shared" si="9"/>
        <v>50.666666666666664</v>
      </c>
      <c r="J93" s="28" t="s">
        <v>130</v>
      </c>
      <c r="K93" s="29">
        <v>239101</v>
      </c>
      <c r="L93" s="29">
        <v>250525</v>
      </c>
      <c r="M93" s="29">
        <v>252711</v>
      </c>
      <c r="N93" s="29">
        <f t="shared" si="5"/>
        <v>247445.66666666666</v>
      </c>
      <c r="O93" s="24">
        <v>362</v>
      </c>
      <c r="P93" s="24">
        <v>262</v>
      </c>
      <c r="Q93" s="24">
        <v>250</v>
      </c>
      <c r="R93" s="27">
        <f t="shared" si="6"/>
        <v>291.33333333333331</v>
      </c>
      <c r="S93" s="30">
        <v>59.121499622468079</v>
      </c>
      <c r="T93" s="77"/>
      <c r="U93" s="43">
        <v>72.801278012780131</v>
      </c>
      <c r="V93" s="22">
        <f>IFERROR(VLOOKUP(A88,'Count of Providers as of Jan 18'!A:B,2,FALSE),0)</f>
        <v>12</v>
      </c>
      <c r="W93" s="42">
        <f t="shared" si="7"/>
        <v>-13.679778390312052</v>
      </c>
    </row>
    <row r="94" spans="1:23">
      <c r="A94" s="23" t="s">
        <v>133</v>
      </c>
      <c r="B94" s="24">
        <v>8559</v>
      </c>
      <c r="C94" s="24">
        <v>6975</v>
      </c>
      <c r="D94" s="24">
        <f>VLOOKUP(A94,'[3]2017'!$B:$I,8,FALSE)</f>
        <v>7599</v>
      </c>
      <c r="E94" s="25">
        <f t="shared" si="8"/>
        <v>7711</v>
      </c>
      <c r="F94" s="26">
        <v>29</v>
      </c>
      <c r="G94" s="24">
        <v>21</v>
      </c>
      <c r="H94" s="24">
        <f>VLOOKUP(A94,'[3]2017'!$B:$D,3,FALSE)</f>
        <v>37</v>
      </c>
      <c r="I94" s="27">
        <f t="shared" si="9"/>
        <v>29</v>
      </c>
      <c r="J94" s="28" t="s">
        <v>131</v>
      </c>
      <c r="K94" s="29">
        <v>184127</v>
      </c>
      <c r="L94" s="29">
        <v>186889</v>
      </c>
      <c r="M94" s="29">
        <v>187550</v>
      </c>
      <c r="N94" s="29">
        <f t="shared" si="5"/>
        <v>186188.66666666666</v>
      </c>
      <c r="O94" s="24">
        <v>89</v>
      </c>
      <c r="P94" s="24">
        <v>55</v>
      </c>
      <c r="Q94" s="24">
        <v>57</v>
      </c>
      <c r="R94" s="27">
        <f t="shared" si="6"/>
        <v>67</v>
      </c>
      <c r="S94" s="30">
        <v>52.981301939058177</v>
      </c>
      <c r="U94" s="43">
        <v>51.439664714292299</v>
      </c>
      <c r="V94" s="22">
        <f>IFERROR(VLOOKUP(A89,'Count of Providers as of Jan 18'!A:B,2,FALSE),0)</f>
        <v>0</v>
      </c>
      <c r="W94" s="42">
        <f t="shared" si="7"/>
        <v>1.5416372247658785</v>
      </c>
    </row>
    <row r="95" spans="1:23">
      <c r="A95" s="23" t="s">
        <v>134</v>
      </c>
      <c r="B95" s="24">
        <v>6608</v>
      </c>
      <c r="C95" s="24" t="s">
        <v>51</v>
      </c>
      <c r="D95" s="24">
        <f>VLOOKUP(A95,'[3]2017'!$B:$I,8,FALSE)</f>
        <v>0</v>
      </c>
      <c r="E95" s="25">
        <f t="shared" si="8"/>
        <v>3304</v>
      </c>
      <c r="F95" s="26">
        <v>10</v>
      </c>
      <c r="G95" s="24">
        <v>8</v>
      </c>
      <c r="H95" s="24">
        <f>VLOOKUP(A95,'[3]2017'!$B:$D,3,FALSE)</f>
        <v>6</v>
      </c>
      <c r="I95" s="27">
        <f t="shared" si="9"/>
        <v>8</v>
      </c>
      <c r="J95" s="28" t="s">
        <v>132</v>
      </c>
      <c r="K95" s="29">
        <v>530093</v>
      </c>
      <c r="L95" s="29">
        <v>546270</v>
      </c>
      <c r="M95" s="29">
        <v>829850</v>
      </c>
      <c r="N95" s="29">
        <f t="shared" si="5"/>
        <v>635404.33333333337</v>
      </c>
      <c r="O95" s="24">
        <v>21</v>
      </c>
      <c r="P95" s="24">
        <v>14</v>
      </c>
      <c r="Q95" s="24">
        <v>11</v>
      </c>
      <c r="R95" s="27">
        <f t="shared" si="6"/>
        <v>15.333333333333334</v>
      </c>
      <c r="S95" s="30">
        <v>40.3150872079785</v>
      </c>
      <c r="U95" s="43">
        <v>83.592336316762328</v>
      </c>
      <c r="V95" s="22">
        <f>IFERROR(VLOOKUP(A90,'Count of Providers as of Jan 18'!A:B,2,FALSE),0)</f>
        <v>0</v>
      </c>
      <c r="W95" s="42">
        <f t="shared" si="7"/>
        <v>-43.277249108783828</v>
      </c>
    </row>
    <row r="96" spans="1:23">
      <c r="A96" s="23" t="s">
        <v>135</v>
      </c>
      <c r="B96" s="24">
        <v>4152</v>
      </c>
      <c r="C96" s="24">
        <v>4501</v>
      </c>
      <c r="D96" s="24">
        <f>VLOOKUP(A96,'[3]2017'!$B:$I,8,FALSE)</f>
        <v>4170</v>
      </c>
      <c r="E96" s="25">
        <f t="shared" si="8"/>
        <v>4274.333333333333</v>
      </c>
      <c r="F96" s="26">
        <v>53</v>
      </c>
      <c r="G96" s="24">
        <v>25</v>
      </c>
      <c r="H96" s="24">
        <f>VLOOKUP(A96,'[3]2017'!$B:$D,3,FALSE)</f>
        <v>43</v>
      </c>
      <c r="I96" s="27">
        <f t="shared" si="9"/>
        <v>40.333333333333336</v>
      </c>
      <c r="J96" s="28" t="s">
        <v>133</v>
      </c>
      <c r="K96" s="29">
        <v>199306</v>
      </c>
      <c r="L96" s="29">
        <v>186613</v>
      </c>
      <c r="M96" s="29">
        <v>209590</v>
      </c>
      <c r="N96" s="29">
        <f t="shared" si="5"/>
        <v>198503</v>
      </c>
      <c r="O96" s="24">
        <v>145</v>
      </c>
      <c r="P96" s="24">
        <v>119</v>
      </c>
      <c r="Q96" s="24">
        <v>118</v>
      </c>
      <c r="R96" s="27">
        <f t="shared" si="6"/>
        <v>127.33333333333333</v>
      </c>
      <c r="S96" s="30">
        <v>66.285514060945829</v>
      </c>
      <c r="U96" s="43">
        <v>65.676715493940179</v>
      </c>
      <c r="V96" s="22">
        <f>IFERROR(VLOOKUP(A91,'Count of Providers as of Jan 18'!A:B,2,FALSE),0)</f>
        <v>7</v>
      </c>
      <c r="W96" s="42">
        <f t="shared" si="7"/>
        <v>0.60879856700564972</v>
      </c>
    </row>
    <row r="97" spans="1:23">
      <c r="A97" s="23" t="s">
        <v>136</v>
      </c>
      <c r="B97" s="24">
        <v>7258</v>
      </c>
      <c r="C97" s="24">
        <v>4893</v>
      </c>
      <c r="D97" s="24">
        <f>VLOOKUP(A97,'[3]2017'!$B:$I,8,FALSE)</f>
        <v>6244</v>
      </c>
      <c r="E97" s="25">
        <f t="shared" si="8"/>
        <v>6131.666666666667</v>
      </c>
      <c r="F97" s="26">
        <v>24</v>
      </c>
      <c r="G97" s="24">
        <v>23</v>
      </c>
      <c r="H97" s="24">
        <f>VLOOKUP(A97,'[3]2017'!$B:$D,3,FALSE)</f>
        <v>28</v>
      </c>
      <c r="I97" s="27">
        <f t="shared" si="9"/>
        <v>25</v>
      </c>
      <c r="J97" s="28" t="s">
        <v>269</v>
      </c>
      <c r="K97" s="29">
        <v>288548</v>
      </c>
      <c r="L97" s="29">
        <v>254236</v>
      </c>
      <c r="M97" s="29">
        <v>311418</v>
      </c>
      <c r="N97" s="29">
        <f t="shared" si="5"/>
        <v>284734</v>
      </c>
      <c r="O97" s="24">
        <v>33</v>
      </c>
      <c r="P97" s="24">
        <v>32</v>
      </c>
      <c r="Q97" s="24">
        <v>21</v>
      </c>
      <c r="R97" s="27">
        <f t="shared" si="6"/>
        <v>28.666666666666668</v>
      </c>
      <c r="S97" s="30">
        <v>53.769514527734771</v>
      </c>
      <c r="U97" s="43">
        <v>66.634141776341707</v>
      </c>
      <c r="V97" s="22">
        <f>IFERROR(VLOOKUP(A92,'Count of Providers as of Jan 18'!A:B,2,FALSE),0)</f>
        <v>2</v>
      </c>
      <c r="W97" s="42">
        <f t="shared" si="7"/>
        <v>-12.864627248606936</v>
      </c>
    </row>
    <row r="98" spans="1:23">
      <c r="A98" s="23" t="s">
        <v>137</v>
      </c>
      <c r="B98" s="24">
        <v>3228</v>
      </c>
      <c r="C98" s="24" t="s">
        <v>51</v>
      </c>
      <c r="D98" s="24">
        <f>VLOOKUP(A98,'[3]2017'!$B:$I,8,FALSE)</f>
        <v>3611</v>
      </c>
      <c r="E98" s="25">
        <f t="shared" si="8"/>
        <v>3419.5</v>
      </c>
      <c r="F98" s="26">
        <v>10</v>
      </c>
      <c r="G98" s="24">
        <v>4</v>
      </c>
      <c r="H98" s="24">
        <f>VLOOKUP(A98,'[3]2017'!$B:$D,3,FALSE)</f>
        <v>11</v>
      </c>
      <c r="I98" s="27">
        <f t="shared" si="9"/>
        <v>8.3333333333333339</v>
      </c>
      <c r="J98" s="28" t="s">
        <v>135</v>
      </c>
      <c r="K98" s="29">
        <v>484301</v>
      </c>
      <c r="L98" s="29">
        <v>530499</v>
      </c>
      <c r="M98" s="29">
        <v>469614</v>
      </c>
      <c r="N98" s="29">
        <f t="shared" si="5"/>
        <v>494804.66666666669</v>
      </c>
      <c r="O98" s="24">
        <v>101</v>
      </c>
      <c r="P98" s="24">
        <v>49</v>
      </c>
      <c r="Q98" s="24">
        <v>48</v>
      </c>
      <c r="R98" s="27">
        <f t="shared" si="6"/>
        <v>66</v>
      </c>
      <c r="S98" s="30">
        <v>45.906516696573156</v>
      </c>
      <c r="U98" s="43">
        <v>65.19260761072988</v>
      </c>
      <c r="V98" s="22">
        <f>IFERROR(VLOOKUP(A93,'Count of Providers as of Jan 18'!A:B,2,FALSE),0)</f>
        <v>4</v>
      </c>
      <c r="W98" s="42">
        <f t="shared" si="7"/>
        <v>-19.286090914156723</v>
      </c>
    </row>
    <row r="99" spans="1:23">
      <c r="A99" s="23" t="s">
        <v>138</v>
      </c>
      <c r="B99" s="24">
        <v>7821</v>
      </c>
      <c r="C99" s="24">
        <v>8293</v>
      </c>
      <c r="D99" s="24">
        <f>VLOOKUP(A99,'[3]2017'!$B:$I,8,FALSE)</f>
        <v>7616</v>
      </c>
      <c r="E99" s="25">
        <f t="shared" si="8"/>
        <v>7910</v>
      </c>
      <c r="F99" s="26">
        <v>48</v>
      </c>
      <c r="G99" s="24">
        <v>43</v>
      </c>
      <c r="H99" s="24">
        <f>VLOOKUP(A99,'[3]2017'!$B:$D,3,FALSE)</f>
        <v>45</v>
      </c>
      <c r="I99" s="27">
        <f t="shared" si="9"/>
        <v>45.333333333333336</v>
      </c>
      <c r="J99" s="28" t="s">
        <v>136</v>
      </c>
      <c r="K99" s="29">
        <v>406387</v>
      </c>
      <c r="L99" s="29">
        <v>397791</v>
      </c>
      <c r="M99" s="29">
        <v>380919</v>
      </c>
      <c r="N99" s="29">
        <f t="shared" si="5"/>
        <v>395032.33333333331</v>
      </c>
      <c r="O99" s="24">
        <v>55</v>
      </c>
      <c r="P99" s="24">
        <v>35</v>
      </c>
      <c r="Q99" s="24">
        <v>42</v>
      </c>
      <c r="R99" s="27">
        <f t="shared" si="6"/>
        <v>44</v>
      </c>
      <c r="S99" s="30">
        <v>46.869554616384917</v>
      </c>
      <c r="U99" s="43">
        <v>81.71811432058584</v>
      </c>
      <c r="V99" s="22">
        <f>IFERROR(VLOOKUP(A94,'Count of Providers as of Jan 18'!A:B,2,FALSE),0)</f>
        <v>6</v>
      </c>
      <c r="W99" s="42">
        <f t="shared" si="7"/>
        <v>-34.848559704200923</v>
      </c>
    </row>
    <row r="100" spans="1:23">
      <c r="A100" s="23" t="s">
        <v>139</v>
      </c>
      <c r="B100" s="24" t="s">
        <v>51</v>
      </c>
      <c r="C100" s="24" t="s">
        <v>51</v>
      </c>
      <c r="D100" s="24">
        <f>VLOOKUP(A100,'[3]2017'!$B:$I,8,FALSE)</f>
        <v>0</v>
      </c>
      <c r="E100" s="25">
        <f t="shared" si="8"/>
        <v>0</v>
      </c>
      <c r="F100" s="26">
        <v>2</v>
      </c>
      <c r="G100" s="24">
        <v>21</v>
      </c>
      <c r="H100" s="24">
        <f>VLOOKUP(A100,'[3]2017'!$B:$D,3,FALSE)</f>
        <v>7</v>
      </c>
      <c r="I100" s="27">
        <f t="shared" si="9"/>
        <v>10</v>
      </c>
      <c r="J100" s="28" t="s">
        <v>137</v>
      </c>
      <c r="K100" s="29">
        <v>360701</v>
      </c>
      <c r="L100" s="29">
        <v>381207</v>
      </c>
      <c r="M100" s="29">
        <v>0</v>
      </c>
      <c r="N100" s="29">
        <f t="shared" si="5"/>
        <v>247302.66666666666</v>
      </c>
      <c r="O100" s="24">
        <v>13</v>
      </c>
      <c r="P100" s="24">
        <v>12</v>
      </c>
      <c r="Q100" s="24">
        <v>7</v>
      </c>
      <c r="R100" s="27">
        <f t="shared" si="6"/>
        <v>10.666666666666666</v>
      </c>
      <c r="S100" s="30">
        <v>74.243804195804202</v>
      </c>
      <c r="T100" s="77" t="s">
        <v>258</v>
      </c>
      <c r="U100" s="43">
        <v>68.799420462875702</v>
      </c>
      <c r="V100" s="22">
        <f>IFERROR(VLOOKUP(A95,'Count of Providers as of Jan 18'!A:B,2,FALSE),0)</f>
        <v>0</v>
      </c>
      <c r="W100" s="42">
        <f t="shared" si="7"/>
        <v>5.4443837329285003</v>
      </c>
    </row>
    <row r="101" spans="1:23">
      <c r="A101" s="23" t="s">
        <v>140</v>
      </c>
      <c r="B101" s="24">
        <v>8385</v>
      </c>
      <c r="C101" s="24">
        <v>9117</v>
      </c>
      <c r="D101" s="24">
        <f>VLOOKUP(A101,'[3]2017'!$B:$I,8,FALSE)</f>
        <v>6965</v>
      </c>
      <c r="E101" s="25">
        <f t="shared" si="8"/>
        <v>8155.666666666667</v>
      </c>
      <c r="F101" s="26">
        <v>13</v>
      </c>
      <c r="G101" s="24">
        <v>10</v>
      </c>
      <c r="H101" s="24">
        <f>VLOOKUP(A101,'[3]2017'!$B:$D,3,FALSE)</f>
        <v>11</v>
      </c>
      <c r="I101" s="27">
        <f t="shared" si="9"/>
        <v>11.333333333333334</v>
      </c>
      <c r="J101" s="28" t="s">
        <v>138</v>
      </c>
      <c r="K101" s="29">
        <v>185734</v>
      </c>
      <c r="L101" s="29">
        <v>189586</v>
      </c>
      <c r="M101" s="29">
        <v>183250</v>
      </c>
      <c r="N101" s="29">
        <f t="shared" si="5"/>
        <v>186190</v>
      </c>
      <c r="O101" s="24">
        <v>121</v>
      </c>
      <c r="P101" s="24">
        <v>72</v>
      </c>
      <c r="Q101" s="24">
        <v>83</v>
      </c>
      <c r="R101" s="27">
        <f t="shared" si="6"/>
        <v>92</v>
      </c>
      <c r="S101" s="30">
        <v>35.341879746394483</v>
      </c>
      <c r="T101" s="77"/>
      <c r="U101" s="43">
        <v>92.803533141736239</v>
      </c>
      <c r="V101" s="22">
        <f>IFERROR(VLOOKUP(A96,'Count of Providers as of Jan 18'!A:B,2,FALSE),0)</f>
        <v>10</v>
      </c>
      <c r="W101" s="42">
        <f t="shared" si="7"/>
        <v>-57.461653395341756</v>
      </c>
    </row>
    <row r="102" spans="1:23">
      <c r="A102" s="23" t="s">
        <v>141</v>
      </c>
      <c r="B102" s="24">
        <v>5487</v>
      </c>
      <c r="C102" s="24">
        <v>5268</v>
      </c>
      <c r="D102" s="24">
        <f>VLOOKUP(A102,'[3]2017'!$B:$I,8,FALSE)</f>
        <v>5547</v>
      </c>
      <c r="E102" s="25">
        <f t="shared" si="8"/>
        <v>5434</v>
      </c>
      <c r="F102" s="26">
        <v>86</v>
      </c>
      <c r="G102" s="24">
        <v>96</v>
      </c>
      <c r="H102" s="24">
        <f>VLOOKUP(A102,'[3]2017'!$B:$D,3,FALSE)</f>
        <v>73</v>
      </c>
      <c r="I102" s="27">
        <f t="shared" si="9"/>
        <v>85</v>
      </c>
      <c r="J102" s="28" t="s">
        <v>139</v>
      </c>
      <c r="K102" s="29">
        <v>381459</v>
      </c>
      <c r="L102" s="29">
        <v>445600</v>
      </c>
      <c r="M102" s="29">
        <v>425150</v>
      </c>
      <c r="N102" s="29">
        <f t="shared" si="5"/>
        <v>417403</v>
      </c>
      <c r="O102" s="24">
        <v>57</v>
      </c>
      <c r="P102" s="24">
        <v>33</v>
      </c>
      <c r="Q102" s="24">
        <v>33</v>
      </c>
      <c r="R102" s="27">
        <f t="shared" si="6"/>
        <v>41</v>
      </c>
      <c r="S102" s="30">
        <v>69.618563802307563</v>
      </c>
      <c r="U102" s="43">
        <v>60.904965296316071</v>
      </c>
      <c r="V102" s="22">
        <f>IFERROR(VLOOKUP(A97,'Count of Providers as of Jan 18'!A:B,2,FALSE),0)</f>
        <v>2</v>
      </c>
      <c r="W102" s="42">
        <f t="shared" si="7"/>
        <v>8.7135985059914915</v>
      </c>
    </row>
    <row r="103" spans="1:23">
      <c r="A103" s="23" t="s">
        <v>142</v>
      </c>
      <c r="B103" s="24">
        <v>7235</v>
      </c>
      <c r="C103" s="24" t="s">
        <v>51</v>
      </c>
      <c r="D103" s="24">
        <f>VLOOKUP(A103,'[3]2017'!$B:$I,8,FALSE)</f>
        <v>5365</v>
      </c>
      <c r="E103" s="25">
        <f t="shared" si="8"/>
        <v>6300</v>
      </c>
      <c r="F103" s="26">
        <v>16</v>
      </c>
      <c r="G103" s="24">
        <v>8</v>
      </c>
      <c r="H103" s="24">
        <f>VLOOKUP(A103,'[3]2017'!$B:$D,3,FALSE)</f>
        <v>10</v>
      </c>
      <c r="I103" s="27">
        <f t="shared" si="9"/>
        <v>11.333333333333334</v>
      </c>
      <c r="J103" s="28" t="s">
        <v>140</v>
      </c>
      <c r="K103" s="29">
        <v>173298</v>
      </c>
      <c r="L103" s="29">
        <v>165856</v>
      </c>
      <c r="M103" s="29">
        <v>175000</v>
      </c>
      <c r="N103" s="29">
        <f t="shared" si="5"/>
        <v>171384.66666666666</v>
      </c>
      <c r="O103" s="24">
        <v>33</v>
      </c>
      <c r="P103" s="24">
        <v>15</v>
      </c>
      <c r="Q103" s="24">
        <v>25</v>
      </c>
      <c r="R103" s="27">
        <f t="shared" si="6"/>
        <v>24.333333333333332</v>
      </c>
      <c r="S103" s="30">
        <v>47.312066203950884</v>
      </c>
      <c r="T103" s="77" t="s">
        <v>258</v>
      </c>
      <c r="U103" s="43">
        <v>71.372538878609234</v>
      </c>
      <c r="V103" s="22">
        <f>IFERROR(VLOOKUP(A98,'Count of Providers as of Jan 18'!A:B,2,FALSE),0)</f>
        <v>1</v>
      </c>
      <c r="W103" s="42">
        <f t="shared" si="7"/>
        <v>-24.060472674658349</v>
      </c>
    </row>
    <row r="104" spans="1:23">
      <c r="A104" s="23" t="s">
        <v>143</v>
      </c>
      <c r="B104" s="24">
        <v>2421</v>
      </c>
      <c r="C104" s="24">
        <v>3182</v>
      </c>
      <c r="D104" s="24">
        <f>VLOOKUP(A104,'[3]2017'!$B:$I,8,FALSE)</f>
        <v>2840</v>
      </c>
      <c r="E104" s="25">
        <f t="shared" si="8"/>
        <v>2814.3333333333335</v>
      </c>
      <c r="F104" s="26">
        <v>36</v>
      </c>
      <c r="G104" s="24">
        <v>26</v>
      </c>
      <c r="H104" s="24">
        <f>VLOOKUP(A104,'[3]2017'!$B:$D,3,FALSE)</f>
        <v>33</v>
      </c>
      <c r="I104" s="27">
        <f t="shared" si="9"/>
        <v>31.666666666666668</v>
      </c>
      <c r="J104" s="28" t="s">
        <v>141</v>
      </c>
      <c r="K104" s="29">
        <v>497500</v>
      </c>
      <c r="L104" s="29">
        <v>500362</v>
      </c>
      <c r="M104" s="29">
        <v>539754</v>
      </c>
      <c r="N104" s="29">
        <f t="shared" si="5"/>
        <v>512538.66666666669</v>
      </c>
      <c r="O104" s="24">
        <v>96</v>
      </c>
      <c r="P104" s="24">
        <v>63</v>
      </c>
      <c r="Q104" s="24">
        <v>66</v>
      </c>
      <c r="R104" s="27">
        <f t="shared" si="6"/>
        <v>75</v>
      </c>
      <c r="S104" s="30">
        <v>43.063624869849768</v>
      </c>
      <c r="T104" s="77"/>
      <c r="U104" s="43">
        <v>45.677541186429643</v>
      </c>
      <c r="V104" s="22">
        <f>IFERROR(VLOOKUP(A99,'Count of Providers as of Jan 18'!A:B,2,FALSE),0)</f>
        <v>4</v>
      </c>
      <c r="W104" s="42">
        <f t="shared" si="7"/>
        <v>-2.6139163165798749</v>
      </c>
    </row>
    <row r="105" spans="1:23">
      <c r="A105" s="23" t="s">
        <v>144</v>
      </c>
      <c r="B105" s="24">
        <v>2735</v>
      </c>
      <c r="C105" s="24">
        <v>3163</v>
      </c>
      <c r="D105" s="24">
        <f>VLOOKUP(A105,'[3]2017'!$B:$I,8,FALSE)</f>
        <v>3598</v>
      </c>
      <c r="E105" s="25">
        <f t="shared" si="8"/>
        <v>3165.3333333333335</v>
      </c>
      <c r="F105" s="26">
        <v>133</v>
      </c>
      <c r="G105" s="24">
        <v>112</v>
      </c>
      <c r="H105" s="24">
        <f>VLOOKUP(A105,'[3]2017'!$B:$D,3,FALSE)</f>
        <v>141</v>
      </c>
      <c r="I105" s="27">
        <f t="shared" si="9"/>
        <v>128.66666666666666</v>
      </c>
      <c r="J105" s="28" t="s">
        <v>270</v>
      </c>
      <c r="K105" s="29">
        <v>166244</v>
      </c>
      <c r="L105" s="29">
        <v>171942</v>
      </c>
      <c r="M105" s="29">
        <v>0</v>
      </c>
      <c r="N105" s="29">
        <f t="shared" si="5"/>
        <v>112728.66666666667</v>
      </c>
      <c r="O105" s="24">
        <v>24</v>
      </c>
      <c r="P105" s="24">
        <v>33</v>
      </c>
      <c r="Q105" s="24">
        <v>9</v>
      </c>
      <c r="R105" s="27">
        <f t="shared" si="6"/>
        <v>22</v>
      </c>
      <c r="S105" s="30">
        <v>41.442972636815924</v>
      </c>
      <c r="U105" s="43">
        <v>63.463013698630142</v>
      </c>
      <c r="V105" s="22">
        <f>IFERROR(VLOOKUP(A100,'Count of Providers as of Jan 18'!A:B,2,FALSE),0)</f>
        <v>0</v>
      </c>
      <c r="W105" s="42">
        <f t="shared" si="7"/>
        <v>-22.020041061814219</v>
      </c>
    </row>
    <row r="106" spans="1:23">
      <c r="A106" s="23" t="str">
        <f>J111</f>
        <v>Pulmonary Medicine: General and Critical Care</v>
      </c>
      <c r="F106" s="26"/>
      <c r="I106" s="27"/>
      <c r="J106" s="28" t="s">
        <v>143</v>
      </c>
      <c r="K106" s="29">
        <v>507000</v>
      </c>
      <c r="L106" s="29">
        <v>389332</v>
      </c>
      <c r="M106" s="29">
        <v>442987</v>
      </c>
      <c r="N106" s="29">
        <f t="shared" si="5"/>
        <v>446439.66666666669</v>
      </c>
      <c r="O106" s="24">
        <v>31</v>
      </c>
      <c r="P106" s="24">
        <v>15</v>
      </c>
      <c r="Q106" s="24">
        <v>19</v>
      </c>
      <c r="R106" s="27">
        <f t="shared" si="6"/>
        <v>21.666666666666668</v>
      </c>
      <c r="S106" s="30">
        <v>0</v>
      </c>
      <c r="U106" s="43">
        <v>91.185267321985151</v>
      </c>
      <c r="V106" s="22">
        <f>IFERROR(VLOOKUP(A101,'Count of Providers as of Jan 18'!A:B,2,FALSE),0)</f>
        <v>3</v>
      </c>
      <c r="W106" s="42">
        <f t="shared" si="7"/>
        <v>-91.185267321985151</v>
      </c>
    </row>
    <row r="107" spans="1:23">
      <c r="A107" s="23" t="s">
        <v>145</v>
      </c>
      <c r="B107" s="24">
        <v>5429</v>
      </c>
      <c r="C107" s="24">
        <v>4527</v>
      </c>
      <c r="D107" s="24">
        <f>VLOOKUP(A107,'[3]2017'!$B:$I,8,FALSE)</f>
        <v>7745</v>
      </c>
      <c r="E107" s="25">
        <f t="shared" ref="E107:E127" si="10">IFERROR(AVERAGE(B107:D107),0)</f>
        <v>5900.333333333333</v>
      </c>
      <c r="F107" s="26">
        <v>37</v>
      </c>
      <c r="G107" s="24">
        <v>14</v>
      </c>
      <c r="H107" s="24">
        <f>VLOOKUP(A107,'[3]2017'!$B:$D,3,FALSE)</f>
        <v>19</v>
      </c>
      <c r="I107" s="27">
        <f t="shared" ref="I107:I127" si="11">AVERAGE(F107:H107)</f>
        <v>23.333333333333332</v>
      </c>
      <c r="J107" s="28" t="s">
        <v>144</v>
      </c>
      <c r="K107" s="29">
        <v>208287</v>
      </c>
      <c r="L107" s="29">
        <v>197791</v>
      </c>
      <c r="M107" s="29">
        <v>212387</v>
      </c>
      <c r="N107" s="29">
        <f t="shared" si="5"/>
        <v>206155</v>
      </c>
      <c r="O107" s="24">
        <v>155</v>
      </c>
      <c r="P107" s="24">
        <v>126</v>
      </c>
      <c r="Q107" s="24">
        <v>125</v>
      </c>
      <c r="R107" s="27">
        <f t="shared" si="6"/>
        <v>135.33333333333334</v>
      </c>
      <c r="S107" s="30">
        <v>68.600383271333556</v>
      </c>
      <c r="U107" s="43">
        <v>63.463013698630142</v>
      </c>
      <c r="V107" s="22">
        <f>IFERROR(VLOOKUP(A102,'Count of Providers as of Jan 18'!A:B,2,FALSE),0)</f>
        <v>12</v>
      </c>
      <c r="W107" s="42">
        <f t="shared" si="7"/>
        <v>5.1373695727034132</v>
      </c>
    </row>
    <row r="108" spans="1:23">
      <c r="A108" s="23" t="s">
        <v>146</v>
      </c>
      <c r="B108" s="24">
        <v>4850</v>
      </c>
      <c r="C108" s="24">
        <v>6360</v>
      </c>
      <c r="D108" s="24">
        <f>VLOOKUP(A108,'[3]2017'!$B:$I,8,FALSE)</f>
        <v>6559</v>
      </c>
      <c r="E108" s="25">
        <f t="shared" si="10"/>
        <v>5923</v>
      </c>
      <c r="F108" s="26">
        <v>67</v>
      </c>
      <c r="G108" s="24">
        <v>70</v>
      </c>
      <c r="H108" s="24">
        <f>VLOOKUP(A108,'[3]2017'!$B:$D,3,FALSE)</f>
        <v>67</v>
      </c>
      <c r="I108" s="27">
        <f t="shared" si="11"/>
        <v>68</v>
      </c>
      <c r="J108" s="28" t="s">
        <v>271</v>
      </c>
      <c r="K108" s="29">
        <v>184795</v>
      </c>
      <c r="L108" s="29" t="s">
        <v>51</v>
      </c>
      <c r="M108" s="29">
        <v>242050</v>
      </c>
      <c r="N108" s="29">
        <f t="shared" si="5"/>
        <v>213422.5</v>
      </c>
      <c r="O108" s="24">
        <v>18</v>
      </c>
      <c r="P108" s="24">
        <v>8</v>
      </c>
      <c r="Q108" s="24">
        <v>11</v>
      </c>
      <c r="R108" s="27">
        <f t="shared" si="6"/>
        <v>12.333333333333334</v>
      </c>
      <c r="S108" s="30">
        <v>62.367205090553114</v>
      </c>
      <c r="U108" s="43">
        <v>63.463013698630142</v>
      </c>
      <c r="V108" s="22">
        <f>IFERROR(VLOOKUP(A103,'Count of Providers as of Jan 18'!A:B,2,FALSE),0)</f>
        <v>0</v>
      </c>
      <c r="W108" s="42">
        <f t="shared" si="7"/>
        <v>-1.0958086080770286</v>
      </c>
    </row>
    <row r="109" spans="1:23">
      <c r="A109" s="23" t="s">
        <v>147</v>
      </c>
      <c r="B109" s="24">
        <v>5617</v>
      </c>
      <c r="C109" s="24">
        <v>6917</v>
      </c>
      <c r="D109" s="24">
        <f>VLOOKUP(A109,'[3]2017'!$B:$I,8,FALSE)</f>
        <v>7211</v>
      </c>
      <c r="E109" s="25">
        <f t="shared" si="10"/>
        <v>6581.666666666667</v>
      </c>
      <c r="F109" s="26">
        <v>24</v>
      </c>
      <c r="G109" s="24">
        <v>33</v>
      </c>
      <c r="H109" s="24">
        <f>VLOOKUP(A109,'[3]2017'!$B:$D,3,FALSE)</f>
        <v>34</v>
      </c>
      <c r="I109" s="27">
        <f t="shared" si="11"/>
        <v>30.333333333333332</v>
      </c>
      <c r="J109" s="28" t="s">
        <v>145</v>
      </c>
      <c r="K109" s="29">
        <v>201070</v>
      </c>
      <c r="L109" s="29">
        <v>201150</v>
      </c>
      <c r="M109" s="29">
        <v>205296</v>
      </c>
      <c r="N109" s="29">
        <f t="shared" si="5"/>
        <v>202505.33333333334</v>
      </c>
      <c r="O109" s="24">
        <v>94</v>
      </c>
      <c r="P109" s="24">
        <v>48</v>
      </c>
      <c r="Q109" s="24">
        <v>85</v>
      </c>
      <c r="R109" s="27">
        <f t="shared" si="6"/>
        <v>75.666666666666671</v>
      </c>
      <c r="S109" s="30">
        <v>40.783940917661845</v>
      </c>
      <c r="U109" s="43">
        <v>40.035332668471291</v>
      </c>
      <c r="V109" s="22">
        <f>IFERROR(VLOOKUP(A104,'Count of Providers as of Jan 18'!A:B,2,FALSE),0)</f>
        <v>20</v>
      </c>
      <c r="W109" s="42">
        <f t="shared" si="7"/>
        <v>0.74860824919055347</v>
      </c>
    </row>
    <row r="110" spans="1:23">
      <c r="A110" s="23" t="s">
        <v>148</v>
      </c>
      <c r="B110" s="24">
        <v>10453</v>
      </c>
      <c r="C110" s="24">
        <v>9827</v>
      </c>
      <c r="D110" s="24">
        <f>VLOOKUP(A110,'[3]2017'!$B:$I,8,FALSE)</f>
        <v>8809</v>
      </c>
      <c r="E110" s="25">
        <f t="shared" si="10"/>
        <v>9696.3333333333339</v>
      </c>
      <c r="F110" s="26">
        <v>107</v>
      </c>
      <c r="G110" s="24">
        <v>85</v>
      </c>
      <c r="H110" s="24">
        <f>VLOOKUP(A110,'[3]2017'!$B:$D,3,FALSE)</f>
        <v>87</v>
      </c>
      <c r="I110" s="27">
        <f t="shared" si="11"/>
        <v>93</v>
      </c>
      <c r="J110" s="28" t="s">
        <v>146</v>
      </c>
      <c r="K110" s="29">
        <v>184900</v>
      </c>
      <c r="L110" s="29">
        <v>202229</v>
      </c>
      <c r="M110" s="29">
        <v>209375</v>
      </c>
      <c r="N110" s="29">
        <f t="shared" si="5"/>
        <v>198834.66666666666</v>
      </c>
      <c r="O110" s="24">
        <v>335</v>
      </c>
      <c r="P110" s="24">
        <v>237</v>
      </c>
      <c r="Q110" s="24">
        <v>337</v>
      </c>
      <c r="R110" s="27">
        <f t="shared" si="6"/>
        <v>303</v>
      </c>
      <c r="S110" s="30">
        <v>37.463569392912831</v>
      </c>
      <c r="U110" s="43">
        <v>39.435405141555485</v>
      </c>
      <c r="V110" s="22">
        <f>IFERROR(VLOOKUP(A105,'Count of Providers as of Jan 18'!A:B,2,FALSE),0)</f>
        <v>50</v>
      </c>
      <c r="W110" s="42">
        <f t="shared" si="7"/>
        <v>-1.9718357486426541</v>
      </c>
    </row>
    <row r="111" spans="1:23">
      <c r="A111" s="23" t="s">
        <v>149</v>
      </c>
      <c r="B111" s="24">
        <v>7392</v>
      </c>
      <c r="C111" s="24">
        <v>7995</v>
      </c>
      <c r="D111" s="24">
        <f>VLOOKUP(A111,'[3]2017'!$B:$I,8,FALSE)</f>
        <v>7605</v>
      </c>
      <c r="E111" s="25">
        <f t="shared" si="10"/>
        <v>7664</v>
      </c>
      <c r="F111" s="26">
        <v>555</v>
      </c>
      <c r="G111" s="24">
        <v>438</v>
      </c>
      <c r="H111" s="24">
        <f>VLOOKUP(A111,'[3]2017'!$B:$D,3,FALSE)</f>
        <v>457</v>
      </c>
      <c r="I111" s="27">
        <f t="shared" si="11"/>
        <v>483.33333333333331</v>
      </c>
      <c r="J111" s="28" t="s">
        <v>147</v>
      </c>
      <c r="K111" s="29" t="s">
        <v>51</v>
      </c>
      <c r="L111" s="29" t="s">
        <v>51</v>
      </c>
      <c r="M111" s="29">
        <v>0</v>
      </c>
      <c r="N111" s="29">
        <f t="shared" si="5"/>
        <v>0</v>
      </c>
      <c r="O111" s="24">
        <v>7</v>
      </c>
      <c r="P111" s="24" t="s">
        <v>51</v>
      </c>
      <c r="Q111" s="24">
        <v>6</v>
      </c>
      <c r="R111" s="27">
        <f t="shared" si="6"/>
        <v>6.5</v>
      </c>
      <c r="S111" s="30">
        <v>36.356932966023869</v>
      </c>
      <c r="U111" s="43">
        <v>38.893576766625678</v>
      </c>
      <c r="V111" s="22">
        <f>IFERROR(VLOOKUP(A106,'Count of Providers as of Jan 18'!A:B,2,FALSE),0)</f>
        <v>0</v>
      </c>
      <c r="W111" s="42">
        <f t="shared" si="7"/>
        <v>-2.5366438006018086</v>
      </c>
    </row>
    <row r="112" spans="1:23">
      <c r="A112" s="23" t="s">
        <v>150</v>
      </c>
      <c r="B112" s="24">
        <v>7686</v>
      </c>
      <c r="C112" s="24">
        <v>8489</v>
      </c>
      <c r="D112" s="24">
        <f>VLOOKUP(A112,'[3]2017'!$B:$I,8,FALSE)</f>
        <v>8080</v>
      </c>
      <c r="E112" s="25">
        <f t="shared" si="10"/>
        <v>8085</v>
      </c>
      <c r="F112" s="26">
        <v>124</v>
      </c>
      <c r="G112" s="24">
        <v>69</v>
      </c>
      <c r="H112" s="24">
        <f>VLOOKUP(A112,'[3]2017'!$B:$D,3,FALSE)</f>
        <v>72</v>
      </c>
      <c r="I112" s="27">
        <f t="shared" si="11"/>
        <v>88.333333333333329</v>
      </c>
      <c r="J112" s="28" t="s">
        <v>148</v>
      </c>
      <c r="K112" s="29">
        <v>221997</v>
      </c>
      <c r="L112" s="29">
        <v>239542</v>
      </c>
      <c r="M112" s="29">
        <v>254634</v>
      </c>
      <c r="N112" s="29">
        <f t="shared" si="5"/>
        <v>238724.33333333334</v>
      </c>
      <c r="O112" s="24">
        <v>130</v>
      </c>
      <c r="P112" s="24">
        <v>52</v>
      </c>
      <c r="Q112" s="24">
        <v>66</v>
      </c>
      <c r="R112" s="27">
        <f t="shared" si="6"/>
        <v>82.666666666666671</v>
      </c>
      <c r="S112" s="30">
        <v>42.295248041775459</v>
      </c>
      <c r="U112" s="43">
        <v>45.543016677687163</v>
      </c>
      <c r="V112" s="22">
        <f>IFERROR(VLOOKUP(A107,'Count of Providers as of Jan 18'!A:B,2,FALSE),0)</f>
        <v>1</v>
      </c>
      <c r="W112" s="42">
        <f t="shared" si="7"/>
        <v>-3.2477686359117044</v>
      </c>
    </row>
    <row r="113" spans="1:23">
      <c r="A113" s="23" t="s">
        <v>151</v>
      </c>
      <c r="B113" s="24">
        <v>12074</v>
      </c>
      <c r="C113" s="24">
        <v>10913</v>
      </c>
      <c r="D113" s="24">
        <f>VLOOKUP(A113,'[3]2017'!$B:$I,8,FALSE)</f>
        <v>11546</v>
      </c>
      <c r="E113" s="25">
        <f t="shared" si="10"/>
        <v>11511</v>
      </c>
      <c r="F113" s="26">
        <v>44</v>
      </c>
      <c r="G113" s="24">
        <v>54</v>
      </c>
      <c r="H113" s="24">
        <f>VLOOKUP(A113,'[3]2017'!$B:$D,3,FALSE)</f>
        <v>63</v>
      </c>
      <c r="I113" s="27">
        <f t="shared" si="11"/>
        <v>53.666666666666664</v>
      </c>
      <c r="J113" s="28" t="s">
        <v>149</v>
      </c>
      <c r="K113" s="29">
        <v>215143</v>
      </c>
      <c r="L113" s="29">
        <v>216300</v>
      </c>
      <c r="M113" s="29">
        <v>223550</v>
      </c>
      <c r="N113" s="29">
        <f t="shared" si="5"/>
        <v>218331</v>
      </c>
      <c r="O113" s="24">
        <v>170</v>
      </c>
      <c r="P113" s="24">
        <v>166</v>
      </c>
      <c r="Q113" s="24">
        <v>195</v>
      </c>
      <c r="R113" s="27">
        <f t="shared" si="6"/>
        <v>177</v>
      </c>
      <c r="S113" s="30">
        <v>47.29769715682491</v>
      </c>
      <c r="U113" s="43">
        <v>47.727690040008426</v>
      </c>
      <c r="V113" s="22">
        <f>IFERROR(VLOOKUP(A108,'Count of Providers as of Jan 18'!A:B,2,FALSE),0)</f>
        <v>29</v>
      </c>
      <c r="W113" s="42">
        <f t="shared" si="7"/>
        <v>-0.42999288318351603</v>
      </c>
    </row>
    <row r="114" spans="1:23">
      <c r="A114" s="23" t="s">
        <v>152</v>
      </c>
      <c r="B114" s="24">
        <v>4970</v>
      </c>
      <c r="C114" s="24">
        <v>5224</v>
      </c>
      <c r="D114" s="24">
        <f>VLOOKUP(A114,'[3]2017'!$B:$I,8,FALSE)</f>
        <v>5357</v>
      </c>
      <c r="E114" s="25">
        <f t="shared" si="10"/>
        <v>5183.666666666667</v>
      </c>
      <c r="F114" s="26">
        <v>40</v>
      </c>
      <c r="G114" s="24">
        <v>44</v>
      </c>
      <c r="H114" s="24">
        <f>VLOOKUP(A114,'[3]2017'!$B:$D,3,FALSE)</f>
        <v>40</v>
      </c>
      <c r="I114" s="27">
        <f t="shared" si="11"/>
        <v>41.333333333333336</v>
      </c>
      <c r="J114" s="28" t="s">
        <v>150</v>
      </c>
      <c r="K114" s="29">
        <v>240448</v>
      </c>
      <c r="L114" s="29">
        <v>234874</v>
      </c>
      <c r="M114" s="29">
        <v>294311</v>
      </c>
      <c r="N114" s="29">
        <f t="shared" si="5"/>
        <v>256544.33333333334</v>
      </c>
      <c r="O114" s="24">
        <v>75</v>
      </c>
      <c r="P114" s="24">
        <v>76</v>
      </c>
      <c r="Q114" s="24">
        <v>60</v>
      </c>
      <c r="R114" s="27">
        <f t="shared" si="6"/>
        <v>70.333333333333329</v>
      </c>
      <c r="S114" s="30">
        <v>50.532283595767723</v>
      </c>
      <c r="U114" s="43">
        <v>56.447132457386367</v>
      </c>
      <c r="V114" s="22">
        <f>IFERROR(VLOOKUP(A109,'Count of Providers as of Jan 18'!A:B,2,FALSE),0)</f>
        <v>0</v>
      </c>
      <c r="W114" s="42">
        <f t="shared" si="7"/>
        <v>-5.9148488616186441</v>
      </c>
    </row>
    <row r="115" spans="1:23">
      <c r="A115" s="23" t="s">
        <v>153</v>
      </c>
      <c r="B115" s="24">
        <v>4230</v>
      </c>
      <c r="C115" s="24">
        <v>4374</v>
      </c>
      <c r="D115" s="24">
        <f>VLOOKUP(A115,'[3]2017'!$B:$I,8,FALSE)</f>
        <v>4167</v>
      </c>
      <c r="E115" s="25">
        <f t="shared" si="10"/>
        <v>4257</v>
      </c>
      <c r="F115" s="26">
        <v>49</v>
      </c>
      <c r="G115" s="24">
        <v>60</v>
      </c>
      <c r="H115" s="24">
        <f>VLOOKUP(A115,'[3]2017'!$B:$D,3,FALSE)</f>
        <v>49</v>
      </c>
      <c r="I115" s="27">
        <f t="shared" si="11"/>
        <v>52.666666666666664</v>
      </c>
      <c r="J115" s="28" t="s">
        <v>151</v>
      </c>
      <c r="K115" s="29">
        <v>381000</v>
      </c>
      <c r="L115" s="29">
        <v>381000</v>
      </c>
      <c r="M115" s="29">
        <v>392865</v>
      </c>
      <c r="N115" s="29">
        <f t="shared" si="5"/>
        <v>384955</v>
      </c>
      <c r="O115" s="24">
        <v>183</v>
      </c>
      <c r="P115" s="24">
        <v>121</v>
      </c>
      <c r="Q115" s="24">
        <v>154</v>
      </c>
      <c r="R115" s="27">
        <f t="shared" si="6"/>
        <v>152.66666666666666</v>
      </c>
      <c r="S115" s="30">
        <v>32.975128492940271</v>
      </c>
      <c r="U115" s="43">
        <v>33.775569572856362</v>
      </c>
      <c r="V115" s="22">
        <f>IFERROR(VLOOKUP(A110,'Count of Providers as of Jan 18'!A:B,2,FALSE),0)</f>
        <v>25</v>
      </c>
      <c r="W115" s="42">
        <f t="shared" si="7"/>
        <v>-0.80044107991609081</v>
      </c>
    </row>
    <row r="116" spans="1:23">
      <c r="A116" s="23" t="s">
        <v>154</v>
      </c>
      <c r="B116" s="24">
        <v>3102</v>
      </c>
      <c r="C116" s="24" t="s">
        <v>51</v>
      </c>
      <c r="D116" s="24">
        <f>VLOOKUP(A116,'[3]2017'!$B:$I,8,FALSE)</f>
        <v>0</v>
      </c>
      <c r="E116" s="25">
        <f t="shared" si="10"/>
        <v>1551</v>
      </c>
      <c r="F116" s="26">
        <v>10</v>
      </c>
      <c r="G116" s="24">
        <v>1</v>
      </c>
      <c r="H116" s="24">
        <f>VLOOKUP(A116,'[3]2017'!$B:$D,3,FALSE)</f>
        <v>5</v>
      </c>
      <c r="I116" s="27">
        <f t="shared" si="11"/>
        <v>5.333333333333333</v>
      </c>
      <c r="J116" s="28" t="s">
        <v>152</v>
      </c>
      <c r="K116" s="29">
        <v>345407</v>
      </c>
      <c r="L116" s="29">
        <v>346439</v>
      </c>
      <c r="M116" s="29">
        <v>357150</v>
      </c>
      <c r="N116" s="29">
        <f t="shared" si="5"/>
        <v>349665.33333333331</v>
      </c>
      <c r="O116" s="24">
        <v>894</v>
      </c>
      <c r="P116" s="24">
        <v>544</v>
      </c>
      <c r="Q116" s="24">
        <v>592</v>
      </c>
      <c r="R116" s="27">
        <f t="shared" si="6"/>
        <v>676.66666666666663</v>
      </c>
      <c r="S116" s="30">
        <v>59.798454367026494</v>
      </c>
      <c r="U116" s="43">
        <v>60.614248844607161</v>
      </c>
      <c r="V116" s="22">
        <f>IFERROR(VLOOKUP(A111,'Count of Providers as of Jan 18'!A:B,2,FALSE),0)</f>
        <v>23</v>
      </c>
      <c r="W116" s="42">
        <f t="shared" si="7"/>
        <v>-0.81579447758066692</v>
      </c>
    </row>
    <row r="117" spans="1:23">
      <c r="A117" s="23" t="s">
        <v>155</v>
      </c>
      <c r="B117" s="24">
        <v>7010</v>
      </c>
      <c r="C117" s="24" t="s">
        <v>51</v>
      </c>
      <c r="D117" s="24">
        <f>VLOOKUP(A117,'[3]2017'!$B:$I,8,FALSE)</f>
        <v>6393</v>
      </c>
      <c r="E117" s="25">
        <f t="shared" si="10"/>
        <v>6701.5</v>
      </c>
      <c r="F117" s="26">
        <v>11</v>
      </c>
      <c r="G117" s="24">
        <v>9</v>
      </c>
      <c r="H117" s="24">
        <f>VLOOKUP(A117,'[3]2017'!$B:$D,3,FALSE)</f>
        <v>13</v>
      </c>
      <c r="I117" s="27">
        <f t="shared" si="11"/>
        <v>11</v>
      </c>
      <c r="J117" s="28" t="s">
        <v>153</v>
      </c>
      <c r="K117" s="29">
        <v>376294</v>
      </c>
      <c r="L117" s="29">
        <v>383289</v>
      </c>
      <c r="M117" s="29">
        <v>408063</v>
      </c>
      <c r="N117" s="29">
        <f t="shared" si="5"/>
        <v>389215.33333333331</v>
      </c>
      <c r="O117" s="24">
        <v>182</v>
      </c>
      <c r="P117" s="24">
        <v>85</v>
      </c>
      <c r="Q117" s="24">
        <v>117</v>
      </c>
      <c r="R117" s="27">
        <f t="shared" si="6"/>
        <v>128</v>
      </c>
      <c r="S117" s="30">
        <v>45.226537978656623</v>
      </c>
      <c r="U117" s="43">
        <v>46.786173505833794</v>
      </c>
      <c r="V117" s="22">
        <f>IFERROR(VLOOKUP(A112,'Count of Providers as of Jan 18'!A:B,2,FALSE),0)</f>
        <v>10</v>
      </c>
      <c r="W117" s="42">
        <f t="shared" si="7"/>
        <v>-1.5596355271771714</v>
      </c>
    </row>
    <row r="118" spans="1:23">
      <c r="A118" s="23" t="s">
        <v>156</v>
      </c>
      <c r="B118" s="24">
        <v>13385</v>
      </c>
      <c r="C118" s="24">
        <v>12307</v>
      </c>
      <c r="D118" s="24">
        <f>VLOOKUP(A118,'[3]2017'!$B:$I,8,FALSE)</f>
        <v>12809</v>
      </c>
      <c r="E118" s="25">
        <f t="shared" si="10"/>
        <v>12833.666666666666</v>
      </c>
      <c r="F118" s="26">
        <v>51</v>
      </c>
      <c r="G118" s="24">
        <v>43</v>
      </c>
      <c r="H118" s="24">
        <f>VLOOKUP(A118,'[3]2017'!$B:$D,3,FALSE)</f>
        <v>43</v>
      </c>
      <c r="I118" s="27">
        <f t="shared" si="11"/>
        <v>45.666666666666664</v>
      </c>
      <c r="J118" s="28" t="s">
        <v>154</v>
      </c>
      <c r="K118" s="29">
        <v>339065</v>
      </c>
      <c r="L118" s="29">
        <v>349056</v>
      </c>
      <c r="M118" s="29">
        <v>367300</v>
      </c>
      <c r="N118" s="29">
        <f t="shared" si="5"/>
        <v>351807</v>
      </c>
      <c r="O118" s="24">
        <v>78</v>
      </c>
      <c r="P118" s="24">
        <v>72</v>
      </c>
      <c r="Q118" s="24">
        <v>73</v>
      </c>
      <c r="R118" s="27">
        <f t="shared" si="6"/>
        <v>74.333333333333329</v>
      </c>
      <c r="S118" s="30">
        <v>45.906516696573156</v>
      </c>
      <c r="U118" s="43">
        <v>51.945465323058684</v>
      </c>
      <c r="V118" s="22">
        <f>IFERROR(VLOOKUP(A113,'Count of Providers as of Jan 18'!A:B,2,FALSE),0)</f>
        <v>6</v>
      </c>
      <c r="W118" s="42">
        <f t="shared" si="7"/>
        <v>-6.0389486264855279</v>
      </c>
    </row>
    <row r="119" spans="1:23">
      <c r="A119" s="23" t="s">
        <v>157</v>
      </c>
      <c r="B119" s="24">
        <v>8465</v>
      </c>
      <c r="C119" s="24">
        <v>8821</v>
      </c>
      <c r="D119" s="24">
        <f>VLOOKUP(A119,'[3]2017'!$B:$I,8,FALSE)</f>
        <v>8861</v>
      </c>
      <c r="E119" s="25">
        <f t="shared" si="10"/>
        <v>8715.6666666666661</v>
      </c>
      <c r="F119" s="26">
        <v>32</v>
      </c>
      <c r="G119" s="24">
        <v>20</v>
      </c>
      <c r="H119" s="24">
        <f>VLOOKUP(A119,'[3]2017'!$B:$D,3,FALSE)</f>
        <v>33</v>
      </c>
      <c r="I119" s="27">
        <f t="shared" si="11"/>
        <v>28.333333333333332</v>
      </c>
      <c r="J119" s="28" t="s">
        <v>272</v>
      </c>
      <c r="K119" s="29">
        <v>303184</v>
      </c>
      <c r="L119" s="29">
        <v>306218</v>
      </c>
      <c r="M119" s="29">
        <v>319358</v>
      </c>
      <c r="N119" s="29">
        <f t="shared" si="5"/>
        <v>309586.66666666669</v>
      </c>
      <c r="O119" s="24">
        <v>64</v>
      </c>
      <c r="P119" s="24">
        <v>74</v>
      </c>
      <c r="Q119" s="24">
        <v>56</v>
      </c>
      <c r="R119" s="27">
        <f t="shared" si="6"/>
        <v>64.666666666666671</v>
      </c>
      <c r="S119" s="30">
        <v>45.906516696573156</v>
      </c>
      <c r="U119" s="43">
        <v>0</v>
      </c>
      <c r="V119" s="22">
        <f>IFERROR(VLOOKUP(A114,'Count of Providers as of Jan 18'!A:B,2,FALSE),0)</f>
        <v>3</v>
      </c>
      <c r="W119" s="42">
        <f t="shared" si="7"/>
        <v>45.906516696573156</v>
      </c>
    </row>
    <row r="120" spans="1:23">
      <c r="A120" s="23" t="s">
        <v>158</v>
      </c>
      <c r="B120" s="24">
        <v>9019</v>
      </c>
      <c r="C120" s="24">
        <v>8141</v>
      </c>
      <c r="D120" s="24">
        <f>VLOOKUP(A120,'[3]2017'!$B:$I,8,FALSE)</f>
        <v>7438</v>
      </c>
      <c r="E120" s="25">
        <f t="shared" si="10"/>
        <v>8199.3333333333339</v>
      </c>
      <c r="F120" s="26">
        <v>107</v>
      </c>
      <c r="G120" s="24">
        <v>87</v>
      </c>
      <c r="H120" s="24">
        <f>VLOOKUP(A120,'[3]2017'!$B:$D,3,FALSE)</f>
        <v>72</v>
      </c>
      <c r="I120" s="27">
        <f t="shared" si="11"/>
        <v>88.666666666666671</v>
      </c>
      <c r="J120" s="28" t="s">
        <v>155</v>
      </c>
      <c r="K120" s="29">
        <v>189520</v>
      </c>
      <c r="L120" s="29">
        <v>185809</v>
      </c>
      <c r="M120" s="29">
        <v>192281</v>
      </c>
      <c r="N120" s="29">
        <f t="shared" si="5"/>
        <v>189203.33333333334</v>
      </c>
      <c r="O120" s="24">
        <v>165</v>
      </c>
      <c r="P120" s="24">
        <v>134</v>
      </c>
      <c r="Q120" s="24">
        <v>115</v>
      </c>
      <c r="R120" s="27">
        <f t="shared" si="6"/>
        <v>138</v>
      </c>
      <c r="S120" s="30">
        <v>47.420938137321542</v>
      </c>
      <c r="U120" s="43">
        <v>56.95027771843624</v>
      </c>
      <c r="V120" s="22">
        <f>IFERROR(VLOOKUP(A115,'Count of Providers as of Jan 18'!A:B,2,FALSE),0)</f>
        <v>10</v>
      </c>
      <c r="W120" s="42">
        <f t="shared" si="7"/>
        <v>-9.5293395811146979</v>
      </c>
    </row>
    <row r="121" spans="1:23">
      <c r="A121" s="23" t="s">
        <v>159</v>
      </c>
      <c r="B121" s="24">
        <v>10772</v>
      </c>
      <c r="C121" s="24">
        <v>10385</v>
      </c>
      <c r="D121" s="24">
        <f>VLOOKUP(A121,'[3]2017'!$B:$I,8,FALSE)</f>
        <v>9264</v>
      </c>
      <c r="E121" s="25">
        <f t="shared" si="10"/>
        <v>10140.333333333334</v>
      </c>
      <c r="F121" s="26">
        <v>150</v>
      </c>
      <c r="G121" s="24">
        <v>92</v>
      </c>
      <c r="H121" s="24">
        <f>VLOOKUP(A121,'[3]2017'!$B:$D,3,FALSE)</f>
        <v>96</v>
      </c>
      <c r="I121" s="27">
        <f t="shared" si="11"/>
        <v>112.66666666666667</v>
      </c>
      <c r="J121" s="28" t="s">
        <v>156</v>
      </c>
      <c r="K121" s="29">
        <v>197436</v>
      </c>
      <c r="L121" s="29">
        <v>192862</v>
      </c>
      <c r="M121" s="29">
        <v>217424</v>
      </c>
      <c r="N121" s="29">
        <f t="shared" si="5"/>
        <v>202574</v>
      </c>
      <c r="O121" s="24">
        <v>21</v>
      </c>
      <c r="P121" s="24">
        <v>11</v>
      </c>
      <c r="Q121" s="24">
        <v>19</v>
      </c>
      <c r="R121" s="27">
        <f t="shared" si="6"/>
        <v>17</v>
      </c>
      <c r="S121" s="30">
        <v>43.738780031320424</v>
      </c>
      <c r="T121" s="77" t="s">
        <v>258</v>
      </c>
      <c r="U121" s="43">
        <v>52.441131237183868</v>
      </c>
      <c r="V121" s="22">
        <f>IFERROR(VLOOKUP(A116,'Count of Providers as of Jan 18'!A:B,2,FALSE),0)</f>
        <v>0</v>
      </c>
      <c r="W121" s="42">
        <f t="shared" si="7"/>
        <v>-8.7023512058634438</v>
      </c>
    </row>
    <row r="122" spans="1:23">
      <c r="A122" s="23" t="s">
        <v>160</v>
      </c>
      <c r="B122" s="24">
        <v>7938</v>
      </c>
      <c r="C122" s="24">
        <v>9658</v>
      </c>
      <c r="D122" s="24">
        <f>VLOOKUP(A122,'[3]2017'!$B:$I,8,FALSE)</f>
        <v>6603</v>
      </c>
      <c r="E122" s="25">
        <f t="shared" si="10"/>
        <v>8066.333333333333</v>
      </c>
      <c r="F122" s="26">
        <v>80</v>
      </c>
      <c r="G122" s="24">
        <v>49</v>
      </c>
      <c r="H122" s="24">
        <f>VLOOKUP(A122,'[3]2017'!$B:$D,3,FALSE)</f>
        <v>37</v>
      </c>
      <c r="I122" s="27">
        <f t="shared" si="11"/>
        <v>55.333333333333336</v>
      </c>
      <c r="J122" s="28" t="s">
        <v>157</v>
      </c>
      <c r="K122" s="29">
        <v>300595</v>
      </c>
      <c r="L122" s="29">
        <v>350805</v>
      </c>
      <c r="M122" s="29">
        <v>336557</v>
      </c>
      <c r="N122" s="29">
        <f t="shared" si="5"/>
        <v>329319</v>
      </c>
      <c r="O122" s="24">
        <v>25</v>
      </c>
      <c r="P122" s="24">
        <v>15</v>
      </c>
      <c r="Q122" s="24">
        <v>19</v>
      </c>
      <c r="R122" s="27">
        <f t="shared" si="6"/>
        <v>19.666666666666668</v>
      </c>
      <c r="S122" s="30">
        <v>45.906516696573156</v>
      </c>
      <c r="U122" s="43">
        <v>46.536889897843359</v>
      </c>
      <c r="V122" s="22">
        <f>IFERROR(VLOOKUP(A117,'Count of Providers as of Jan 18'!A:B,2,FALSE),0)</f>
        <v>0</v>
      </c>
      <c r="W122" s="42">
        <f t="shared" si="7"/>
        <v>-0.6303732012702028</v>
      </c>
    </row>
    <row r="123" spans="1:23">
      <c r="A123" s="23" t="s">
        <v>161</v>
      </c>
      <c r="B123" s="24" t="s">
        <v>51</v>
      </c>
      <c r="C123" s="24" t="s">
        <v>51</v>
      </c>
      <c r="D123" s="24">
        <f>VLOOKUP(A123,'[3]2017'!$B:$I,8,FALSE)</f>
        <v>10326</v>
      </c>
      <c r="E123" s="25">
        <f t="shared" si="10"/>
        <v>10326</v>
      </c>
      <c r="F123" s="26">
        <v>7</v>
      </c>
      <c r="G123" s="24">
        <v>8</v>
      </c>
      <c r="H123" s="24">
        <f>VLOOKUP(A123,'[3]2017'!$B:$D,3,FALSE)</f>
        <v>10</v>
      </c>
      <c r="I123" s="27">
        <f t="shared" si="11"/>
        <v>8.3333333333333339</v>
      </c>
      <c r="J123" s="28" t="s">
        <v>158</v>
      </c>
      <c r="K123" s="29">
        <v>593954</v>
      </c>
      <c r="L123" s="29">
        <v>564648</v>
      </c>
      <c r="M123" s="29">
        <v>561952</v>
      </c>
      <c r="N123" s="29">
        <f t="shared" si="5"/>
        <v>573518</v>
      </c>
      <c r="O123" s="24">
        <v>85</v>
      </c>
      <c r="P123" s="24">
        <v>79</v>
      </c>
      <c r="Q123" s="24">
        <v>62</v>
      </c>
      <c r="R123" s="27">
        <f t="shared" si="6"/>
        <v>75.333333333333329</v>
      </c>
      <c r="S123" s="30">
        <v>59.121499622468079</v>
      </c>
      <c r="U123" s="43">
        <v>48.670002793036033</v>
      </c>
      <c r="V123" s="22">
        <f>IFERROR(VLOOKUP(A118,'Count of Providers as of Jan 18'!A:B,2,FALSE),0)</f>
        <v>7</v>
      </c>
      <c r="W123" s="42">
        <f t="shared" si="7"/>
        <v>10.451496829432045</v>
      </c>
    </row>
    <row r="124" spans="1:23">
      <c r="A124" s="23" t="s">
        <v>162</v>
      </c>
      <c r="B124" s="24">
        <v>10706</v>
      </c>
      <c r="C124" s="24">
        <v>8524</v>
      </c>
      <c r="D124" s="24">
        <f>VLOOKUP(A124,'[3]2017'!$B:$I,8,FALSE)</f>
        <v>8246</v>
      </c>
      <c r="E124" s="25">
        <f t="shared" si="10"/>
        <v>9158.6666666666661</v>
      </c>
      <c r="F124" s="26">
        <v>81</v>
      </c>
      <c r="G124" s="24">
        <v>55</v>
      </c>
      <c r="H124" s="24">
        <f>VLOOKUP(A124,'[3]2017'!$B:$D,3,FALSE)</f>
        <v>49</v>
      </c>
      <c r="I124" s="27">
        <f t="shared" si="11"/>
        <v>61.666666666666664</v>
      </c>
      <c r="J124" s="28" t="s">
        <v>159</v>
      </c>
      <c r="K124" s="29">
        <v>340000</v>
      </c>
      <c r="L124" s="29">
        <v>371235</v>
      </c>
      <c r="M124" s="29">
        <v>339750</v>
      </c>
      <c r="N124" s="29">
        <f t="shared" si="5"/>
        <v>350328.33333333331</v>
      </c>
      <c r="O124" s="24">
        <v>52</v>
      </c>
      <c r="P124" s="24">
        <v>40</v>
      </c>
      <c r="Q124" s="24">
        <v>42</v>
      </c>
      <c r="R124" s="27">
        <f t="shared" si="6"/>
        <v>44.666666666666664</v>
      </c>
      <c r="S124" s="30">
        <v>46.599242105263158</v>
      </c>
      <c r="U124" s="43">
        <v>60.703179867342961</v>
      </c>
      <c r="V124" s="22">
        <f>IFERROR(VLOOKUP(A119,'Count of Providers as of Jan 18'!A:B,2,FALSE),0)</f>
        <v>3</v>
      </c>
      <c r="W124" s="42">
        <f t="shared" si="7"/>
        <v>-14.103937762079802</v>
      </c>
    </row>
    <row r="125" spans="1:23">
      <c r="A125" s="23" t="s">
        <v>163</v>
      </c>
      <c r="B125" s="24" t="s">
        <v>51</v>
      </c>
      <c r="C125" s="24" t="s">
        <v>51</v>
      </c>
      <c r="D125" s="24">
        <f>VLOOKUP(A125,'[3]2017'!$B:$I,8,FALSE)</f>
        <v>8795</v>
      </c>
      <c r="E125" s="25">
        <f t="shared" si="10"/>
        <v>8795</v>
      </c>
      <c r="F125" s="26">
        <v>1</v>
      </c>
      <c r="G125" s="24">
        <v>3</v>
      </c>
      <c r="H125" s="24">
        <f>VLOOKUP(A125,'[3]2017'!$B:$D,3,FALSE)</f>
        <v>10</v>
      </c>
      <c r="I125" s="27">
        <f t="shared" si="11"/>
        <v>4.666666666666667</v>
      </c>
      <c r="J125" s="28" t="s">
        <v>160</v>
      </c>
      <c r="K125" s="29">
        <v>329196</v>
      </c>
      <c r="L125" s="29">
        <v>350000</v>
      </c>
      <c r="M125" s="29">
        <v>322918</v>
      </c>
      <c r="N125" s="29">
        <f t="shared" si="5"/>
        <v>334038</v>
      </c>
      <c r="O125" s="24">
        <v>230</v>
      </c>
      <c r="P125" s="24">
        <v>144</v>
      </c>
      <c r="Q125" s="24">
        <v>169</v>
      </c>
      <c r="R125" s="27">
        <f t="shared" si="6"/>
        <v>181</v>
      </c>
      <c r="S125" s="30">
        <v>45.906516696573156</v>
      </c>
      <c r="U125" s="43">
        <v>50.065328206045429</v>
      </c>
      <c r="V125" s="22">
        <f>IFERROR(VLOOKUP(A120,'Count of Providers as of Jan 18'!A:B,2,FALSE),0)</f>
        <v>4</v>
      </c>
      <c r="W125" s="42">
        <f t="shared" si="7"/>
        <v>-4.1588115094722724</v>
      </c>
    </row>
    <row r="126" spans="1:23">
      <c r="A126" s="23" t="s">
        <v>164</v>
      </c>
      <c r="B126" s="24">
        <v>8795</v>
      </c>
      <c r="C126" s="24">
        <v>6780</v>
      </c>
      <c r="D126" s="24">
        <f>VLOOKUP(A126,'[3]2017'!$B:$I,8,FALSE)</f>
        <v>9687</v>
      </c>
      <c r="E126" s="25">
        <f t="shared" si="10"/>
        <v>8420.6666666666661</v>
      </c>
      <c r="F126" s="26">
        <v>65</v>
      </c>
      <c r="G126" s="24">
        <v>34</v>
      </c>
      <c r="H126" s="24">
        <f>VLOOKUP(A126,'[3]2017'!$B:$D,3,FALSE)</f>
        <v>37</v>
      </c>
      <c r="I126" s="27">
        <f t="shared" si="11"/>
        <v>45.333333333333336</v>
      </c>
      <c r="J126" s="28" t="s">
        <v>161</v>
      </c>
      <c r="K126" s="29">
        <v>540781</v>
      </c>
      <c r="L126" s="29">
        <v>547541</v>
      </c>
      <c r="M126" s="29">
        <v>599992</v>
      </c>
      <c r="N126" s="29">
        <f t="shared" si="5"/>
        <v>562771.33333333337</v>
      </c>
      <c r="O126" s="24">
        <v>233</v>
      </c>
      <c r="P126" s="24">
        <v>149</v>
      </c>
      <c r="Q126" s="24">
        <v>191</v>
      </c>
      <c r="R126" s="27">
        <f t="shared" si="6"/>
        <v>191</v>
      </c>
      <c r="S126" s="30">
        <v>54.295788519875508</v>
      </c>
      <c r="U126" s="43">
        <v>48.670002793036033</v>
      </c>
      <c r="V126" s="22">
        <f>IFERROR(VLOOKUP(A121,'Count of Providers as of Jan 18'!A:B,2,FALSE),0)</f>
        <v>8</v>
      </c>
      <c r="W126" s="42">
        <f t="shared" si="7"/>
        <v>5.6257857268394744</v>
      </c>
    </row>
    <row r="127" spans="1:23">
      <c r="A127" s="23" t="s">
        <v>165</v>
      </c>
      <c r="B127" s="24">
        <v>8655</v>
      </c>
      <c r="C127" s="24">
        <v>6525</v>
      </c>
      <c r="D127" s="24">
        <f>VLOOKUP(A127,'[3]2017'!$B:$I,8,FALSE)</f>
        <v>6008</v>
      </c>
      <c r="E127" s="25">
        <f t="shared" si="10"/>
        <v>7062.666666666667</v>
      </c>
      <c r="F127" s="26">
        <v>36</v>
      </c>
      <c r="G127" s="24">
        <v>49</v>
      </c>
      <c r="H127" s="24">
        <f>VLOOKUP(A127,'[3]2017'!$B:$D,3,FALSE)</f>
        <v>39</v>
      </c>
      <c r="I127" s="27">
        <f t="shared" si="11"/>
        <v>41.333333333333336</v>
      </c>
      <c r="J127" s="28" t="s">
        <v>162</v>
      </c>
      <c r="K127" s="29">
        <v>332257</v>
      </c>
      <c r="L127" s="29">
        <v>361794</v>
      </c>
      <c r="M127" s="29">
        <v>360538</v>
      </c>
      <c r="N127" s="29">
        <f t="shared" si="5"/>
        <v>351529.66666666669</v>
      </c>
      <c r="O127" s="24">
        <v>124</v>
      </c>
      <c r="P127" s="24">
        <v>84</v>
      </c>
      <c r="Q127" s="24">
        <v>70</v>
      </c>
      <c r="R127" s="27">
        <f t="shared" si="6"/>
        <v>92.666666666666671</v>
      </c>
      <c r="S127" s="30">
        <v>54.295788519875508</v>
      </c>
      <c r="U127" s="43">
        <v>53.307313421073367</v>
      </c>
      <c r="V127" s="22">
        <f>IFERROR(VLOOKUP(A122,'Count of Providers as of Jan 18'!A:B,2,FALSE),0)</f>
        <v>10</v>
      </c>
      <c r="W127" s="42">
        <f t="shared" si="7"/>
        <v>0.98847509880214091</v>
      </c>
    </row>
    <row r="128" spans="1:23">
      <c r="A128" s="23" t="str">
        <f>J133</f>
        <v>Surgery: Trauma-Burn</v>
      </c>
      <c r="F128" s="26"/>
      <c r="I128" s="27"/>
      <c r="J128" s="28" t="s">
        <v>163</v>
      </c>
      <c r="K128" s="29">
        <v>316267</v>
      </c>
      <c r="L128" s="29">
        <v>342684</v>
      </c>
      <c r="M128" s="29">
        <v>361267</v>
      </c>
      <c r="N128" s="29">
        <f t="shared" si="5"/>
        <v>340072.66666666669</v>
      </c>
      <c r="O128" s="24">
        <v>12</v>
      </c>
      <c r="P128" s="24">
        <v>11</v>
      </c>
      <c r="Q128" s="24">
        <v>20</v>
      </c>
      <c r="R128" s="27">
        <f t="shared" si="6"/>
        <v>14.333333333333334</v>
      </c>
      <c r="S128" s="30">
        <v>52.045529326242487</v>
      </c>
      <c r="U128" s="43">
        <v>53.307313421073367</v>
      </c>
      <c r="V128" s="22">
        <f>IFERROR(VLOOKUP(A123,'Count of Providers as of Jan 18'!A:B,2,FALSE),0)</f>
        <v>0</v>
      </c>
      <c r="W128" s="42">
        <f t="shared" si="7"/>
        <v>-1.2617840948308796</v>
      </c>
    </row>
    <row r="129" spans="1:23">
      <c r="A129" s="23" t="s">
        <v>166</v>
      </c>
      <c r="B129" s="24" t="s">
        <v>51</v>
      </c>
      <c r="C129" s="24" t="s">
        <v>51</v>
      </c>
      <c r="D129" s="24">
        <f>VLOOKUP(A129,'[3]2017'!$B:$I,8,FALSE)</f>
        <v>0</v>
      </c>
      <c r="E129" s="25">
        <f>IFERROR(AVERAGE(B129:D129),0)</f>
        <v>0</v>
      </c>
      <c r="F129" s="26">
        <v>5</v>
      </c>
      <c r="G129" s="24">
        <v>3</v>
      </c>
      <c r="H129" s="24">
        <f>VLOOKUP(A129,'[3]2017'!$B:$D,3,FALSE)</f>
        <v>6</v>
      </c>
      <c r="I129" s="27">
        <f>AVERAGE(F129:H129)</f>
        <v>4.666666666666667</v>
      </c>
      <c r="J129" s="28" t="s">
        <v>164</v>
      </c>
      <c r="K129" s="29">
        <v>431500</v>
      </c>
      <c r="L129" s="29">
        <v>444072</v>
      </c>
      <c r="M129" s="29">
        <v>430200</v>
      </c>
      <c r="N129" s="29">
        <f t="shared" si="5"/>
        <v>435257.33333333331</v>
      </c>
      <c r="O129" s="24">
        <v>132</v>
      </c>
      <c r="P129" s="24">
        <v>91</v>
      </c>
      <c r="Q129" s="24">
        <v>82</v>
      </c>
      <c r="R129" s="27">
        <f t="shared" si="6"/>
        <v>101.66666666666667</v>
      </c>
      <c r="S129" s="30">
        <v>67.016180750826294</v>
      </c>
      <c r="U129" s="43">
        <v>51.095112560269179</v>
      </c>
      <c r="V129" s="22">
        <f>IFERROR(VLOOKUP(A124,'Count of Providers as of Jan 18'!A:B,2,FALSE),0)</f>
        <v>7</v>
      </c>
      <c r="W129" s="42">
        <f t="shared" si="7"/>
        <v>15.921068190557115</v>
      </c>
    </row>
    <row r="130" spans="1:23">
      <c r="A130" s="23" t="s">
        <v>167</v>
      </c>
      <c r="B130" s="24">
        <v>8479</v>
      </c>
      <c r="C130" s="24">
        <v>8980</v>
      </c>
      <c r="D130" s="24">
        <f>VLOOKUP(A130,'[3]2017'!$B:$I,8,FALSE)</f>
        <v>9678</v>
      </c>
      <c r="E130" s="25">
        <f>IFERROR(AVERAGE(B130:D130),0)</f>
        <v>9045.6666666666661</v>
      </c>
      <c r="F130" s="26">
        <v>83</v>
      </c>
      <c r="G130" s="24">
        <v>57</v>
      </c>
      <c r="H130" s="24">
        <f>VLOOKUP(A130,'[3]2017'!$B:$D,3,FALSE)</f>
        <v>50</v>
      </c>
      <c r="I130" s="27">
        <f>AVERAGE(F130:H130)</f>
        <v>63.333333333333336</v>
      </c>
      <c r="J130" s="28" t="s">
        <v>165</v>
      </c>
      <c r="K130" s="29" t="s">
        <v>51</v>
      </c>
      <c r="L130" s="29">
        <v>408666</v>
      </c>
      <c r="M130" s="29">
        <v>484309</v>
      </c>
      <c r="N130" s="29">
        <f t="shared" si="5"/>
        <v>446487.5</v>
      </c>
      <c r="O130" s="24">
        <v>6</v>
      </c>
      <c r="P130" s="24">
        <v>10</v>
      </c>
      <c r="Q130" s="24">
        <v>13</v>
      </c>
      <c r="R130" s="27">
        <f t="shared" si="6"/>
        <v>9.6666666666666661</v>
      </c>
      <c r="S130" s="30">
        <v>45.906516696573156</v>
      </c>
      <c r="U130" s="43">
        <v>67.922640961054057</v>
      </c>
      <c r="V130" s="22">
        <f>IFERROR(VLOOKUP(A125,'Count of Providers as of Jan 18'!A:B,2,FALSE),0)</f>
        <v>1</v>
      </c>
      <c r="W130" s="42">
        <f t="shared" si="7"/>
        <v>-22.016124264480901</v>
      </c>
    </row>
    <row r="131" spans="1:23">
      <c r="A131" s="23" t="s">
        <v>168</v>
      </c>
      <c r="B131" s="24" t="s">
        <v>51</v>
      </c>
      <c r="C131" s="24" t="s">
        <v>51</v>
      </c>
      <c r="D131" s="24">
        <f>VLOOKUP(A131,'[3]2017'!$B:$I,8,FALSE)</f>
        <v>8364</v>
      </c>
      <c r="E131" s="25">
        <f>IFERROR(AVERAGE(B131:D131),0)</f>
        <v>8364</v>
      </c>
      <c r="F131" s="26">
        <v>9</v>
      </c>
      <c r="G131" s="24">
        <v>9</v>
      </c>
      <c r="H131" s="24">
        <f>VLOOKUP(A131,'[3]2017'!$B:$D,3,FALSE)</f>
        <v>10</v>
      </c>
      <c r="I131" s="27">
        <f>AVERAGE(F131:H131)</f>
        <v>9.3333333333333339</v>
      </c>
      <c r="J131" s="28" t="s">
        <v>166</v>
      </c>
      <c r="K131" s="29">
        <v>473478</v>
      </c>
      <c r="L131" s="29">
        <v>402094</v>
      </c>
      <c r="M131" s="29">
        <v>427204</v>
      </c>
      <c r="N131" s="29">
        <f t="shared" si="5"/>
        <v>434258.66666666669</v>
      </c>
      <c r="O131" s="24">
        <v>88</v>
      </c>
      <c r="P131" s="24">
        <v>53</v>
      </c>
      <c r="Q131" s="24">
        <v>47</v>
      </c>
      <c r="R131" s="27">
        <f t="shared" si="6"/>
        <v>62.666666666666664</v>
      </c>
      <c r="S131" s="30">
        <v>43.445060391350644</v>
      </c>
      <c r="U131" s="43">
        <v>48.670002793036033</v>
      </c>
      <c r="V131" s="22">
        <f>IFERROR(VLOOKUP(A126,'Count of Providers as of Jan 18'!A:B,2,FALSE),0)</f>
        <v>0</v>
      </c>
      <c r="W131" s="42">
        <f t="shared" si="7"/>
        <v>-5.2249424016853894</v>
      </c>
    </row>
    <row r="132" spans="1:23">
      <c r="A132" s="23" t="s">
        <v>169</v>
      </c>
      <c r="B132" s="24">
        <v>10484</v>
      </c>
      <c r="C132" s="24">
        <v>10161</v>
      </c>
      <c r="D132" s="24">
        <f>VLOOKUP(A132,'[3]2017'!$B:$I,8,FALSE)</f>
        <v>8708</v>
      </c>
      <c r="E132" s="25">
        <f>IFERROR(AVERAGE(B132:D132),0)</f>
        <v>9784.3333333333339</v>
      </c>
      <c r="F132" s="26">
        <v>50</v>
      </c>
      <c r="G132" s="24">
        <v>40</v>
      </c>
      <c r="H132" s="24">
        <f>VLOOKUP(A132,'[3]2017'!$B:$D,3,FALSE)</f>
        <v>37</v>
      </c>
      <c r="I132" s="27">
        <f>AVERAGE(F132:H132)</f>
        <v>42.333333333333336</v>
      </c>
      <c r="J132" s="28" t="s">
        <v>167</v>
      </c>
      <c r="K132" s="29">
        <v>391200</v>
      </c>
      <c r="L132" s="29">
        <v>397925</v>
      </c>
      <c r="M132" s="29">
        <v>470775</v>
      </c>
      <c r="N132" s="29">
        <f t="shared" si="5"/>
        <v>419966.66666666669</v>
      </c>
      <c r="O132" s="24">
        <v>69</v>
      </c>
      <c r="P132" s="24">
        <v>69</v>
      </c>
      <c r="Q132" s="24">
        <v>49</v>
      </c>
      <c r="R132" s="27">
        <f t="shared" si="6"/>
        <v>62.333333333333336</v>
      </c>
      <c r="S132" s="30">
        <v>45.906516696573156</v>
      </c>
      <c r="U132" s="43">
        <v>45.02076712733723</v>
      </c>
      <c r="V132" s="22">
        <f>IFERROR(VLOOKUP(A127,'Count of Providers as of Jan 18'!A:B,2,FALSE),0)</f>
        <v>4</v>
      </c>
      <c r="W132" s="42">
        <f t="shared" si="7"/>
        <v>0.88574956923592651</v>
      </c>
    </row>
    <row r="133" spans="1:23">
      <c r="A133" s="23" t="s">
        <v>170</v>
      </c>
      <c r="B133" s="24">
        <v>8324</v>
      </c>
      <c r="C133" s="24">
        <v>8640</v>
      </c>
      <c r="D133" s="24">
        <f>VLOOKUP(A133,'[3]2017'!$B:$I,8,FALSE)</f>
        <v>9208</v>
      </c>
      <c r="E133" s="25">
        <f>IFERROR(AVERAGE(B133:D133),0)</f>
        <v>8724</v>
      </c>
      <c r="F133" s="26">
        <v>111</v>
      </c>
      <c r="G133" s="24">
        <v>105</v>
      </c>
      <c r="H133" s="24">
        <f>VLOOKUP(A133,'[3]2017'!$B:$D,3,FALSE)</f>
        <v>97</v>
      </c>
      <c r="I133" s="27">
        <f>AVERAGE(F133:H133)</f>
        <v>104.33333333333333</v>
      </c>
      <c r="J133" s="28" t="s">
        <v>168</v>
      </c>
      <c r="K133" s="29" t="s">
        <v>51</v>
      </c>
      <c r="L133" s="29" t="s">
        <v>51</v>
      </c>
      <c r="M133" s="29">
        <v>368431</v>
      </c>
      <c r="N133" s="29">
        <f t="shared" si="5"/>
        <v>368431</v>
      </c>
      <c r="O133" s="24">
        <v>9</v>
      </c>
      <c r="P133" s="24">
        <v>1</v>
      </c>
      <c r="Q133" s="24">
        <v>12</v>
      </c>
      <c r="R133" s="27">
        <f t="shared" si="6"/>
        <v>7.333333333333333</v>
      </c>
      <c r="S133" s="30">
        <v>44.244875668984598</v>
      </c>
      <c r="U133" s="43">
        <v>48.670002793036033</v>
      </c>
      <c r="V133" s="22">
        <f>IFERROR(VLOOKUP(A128,'Count of Providers as of Jan 18'!A:B,2,FALSE),0)</f>
        <v>5</v>
      </c>
      <c r="W133" s="42">
        <f t="shared" si="7"/>
        <v>-4.4251271240514356</v>
      </c>
    </row>
    <row r="134" spans="1:23">
      <c r="A134" s="23"/>
      <c r="F134" s="26"/>
      <c r="I134" s="27"/>
      <c r="J134" s="28" t="s">
        <v>169</v>
      </c>
      <c r="K134" s="29">
        <v>329833</v>
      </c>
      <c r="L134" s="29" t="s">
        <v>51</v>
      </c>
      <c r="M134" s="29">
        <v>400060</v>
      </c>
      <c r="N134" s="29">
        <f t="shared" si="5"/>
        <v>364946.5</v>
      </c>
      <c r="O134" s="24">
        <v>10</v>
      </c>
      <c r="P134" s="24">
        <v>4</v>
      </c>
      <c r="Q134" s="24">
        <v>11</v>
      </c>
      <c r="R134" s="27">
        <f t="shared" si="6"/>
        <v>8.3333333333333339</v>
      </c>
      <c r="S134" s="30">
        <v>43.063624869849768</v>
      </c>
      <c r="U134" s="43">
        <v>46.951634723788047</v>
      </c>
      <c r="V134" s="22">
        <f>IFERROR(VLOOKUP(A129,'Count of Providers as of Jan 18'!A:B,2,FALSE),0)</f>
        <v>0</v>
      </c>
      <c r="W134" s="42">
        <f t="shared" si="7"/>
        <v>-3.8880098539382786</v>
      </c>
    </row>
    <row r="135" spans="1:23">
      <c r="J135" s="22" t="s">
        <v>170</v>
      </c>
      <c r="U135" s="43">
        <v>44.359220005280434</v>
      </c>
      <c r="V135" s="22">
        <f>IFERROR(VLOOKUP(A130,'Count of Providers as of Jan 18'!A:B,2,FALSE),0)</f>
        <v>9</v>
      </c>
      <c r="W135" s="42">
        <f t="shared" si="7"/>
        <v>-44.359220005280434</v>
      </c>
    </row>
    <row r="136" spans="1:23">
      <c r="J136" s="22" t="s">
        <v>42</v>
      </c>
      <c r="U136" s="43">
        <v>64.900000000000006</v>
      </c>
      <c r="V136" s="22">
        <f>IFERROR(VLOOKUP(A131,'Count of Providers as of Jan 18'!A:B,2,FALSE),0)</f>
        <v>5</v>
      </c>
      <c r="W136" s="42">
        <f t="shared" ref="W136:W139" si="12">S136-U136</f>
        <v>-64.900000000000006</v>
      </c>
    </row>
    <row r="137" spans="1:23">
      <c r="J137" s="22" t="s">
        <v>110</v>
      </c>
      <c r="U137" s="43">
        <v>81.125</v>
      </c>
      <c r="V137" s="22">
        <f>IFERROR(VLOOKUP(A132,'Count of Providers as of Jan 18'!A:B,2,FALSE),0)</f>
        <v>7</v>
      </c>
      <c r="W137" s="42">
        <f t="shared" si="12"/>
        <v>-81.125</v>
      </c>
    </row>
    <row r="138" spans="1:23">
      <c r="J138" s="28" t="s">
        <v>223</v>
      </c>
      <c r="K138" s="29">
        <v>379174</v>
      </c>
      <c r="L138" s="29">
        <v>368834</v>
      </c>
      <c r="M138" s="29">
        <v>394485</v>
      </c>
      <c r="N138" s="29">
        <f>IFERROR(AVERAGE(K138:M138),0)</f>
        <v>380831</v>
      </c>
      <c r="O138" s="24">
        <v>137</v>
      </c>
      <c r="P138" s="24">
        <v>78</v>
      </c>
      <c r="Q138" s="24">
        <v>98</v>
      </c>
      <c r="R138" s="27">
        <f>AVERAGE(O138:Q138)</f>
        <v>104.33333333333333</v>
      </c>
      <c r="S138" s="30">
        <v>47.83</v>
      </c>
      <c r="U138" s="43">
        <v>53.560955531894301</v>
      </c>
      <c r="V138" s="22">
        <f>IFERROR(VLOOKUP(A133,'Count of Providers as of Jan 18'!A:B,2,FALSE),0)</f>
        <v>13</v>
      </c>
      <c r="W138" s="42">
        <f t="shared" si="12"/>
        <v>-5.7309555318943026</v>
      </c>
    </row>
    <row r="139" spans="1:23">
      <c r="J139" s="28" t="s">
        <v>224</v>
      </c>
      <c r="K139" s="29"/>
      <c r="L139" s="29"/>
      <c r="M139" s="29"/>
      <c r="N139" s="29"/>
      <c r="O139" s="24"/>
      <c r="P139" s="24"/>
      <c r="Q139" s="24"/>
      <c r="R139" s="27"/>
      <c r="S139" s="30">
        <v>51.52</v>
      </c>
      <c r="U139" s="43">
        <v>53.881193275130947</v>
      </c>
      <c r="W139" s="42">
        <f t="shared" si="12"/>
        <v>-2.3611932751309439</v>
      </c>
    </row>
    <row r="140" spans="1:23">
      <c r="J140" s="78"/>
      <c r="W140" s="42"/>
    </row>
    <row r="141" spans="1:23">
      <c r="W141" s="42"/>
    </row>
    <row r="142" spans="1:23">
      <c r="W142" s="42"/>
    </row>
    <row r="143" spans="1:23">
      <c r="W143" s="42"/>
    </row>
    <row r="144" spans="1:23">
      <c r="W144" s="42"/>
    </row>
  </sheetData>
  <autoFilter ref="A1:W140"/>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2"/>
  <sheetViews>
    <sheetView workbookViewId="0">
      <selection activeCell="B12" sqref="B12:J15"/>
    </sheetView>
  </sheetViews>
  <sheetFormatPr defaultColWidth="8.7109375" defaultRowHeight="15"/>
  <cols>
    <col min="1" max="1" width="44.5703125" style="22" bestFit="1" customWidth="1"/>
    <col min="2" max="16384" width="8.7109375" style="22"/>
  </cols>
  <sheetData>
    <row r="1" spans="1:2">
      <c r="A1" s="33" t="s">
        <v>41</v>
      </c>
      <c r="B1" s="34">
        <v>6</v>
      </c>
    </row>
    <row r="2" spans="1:2">
      <c r="A2" s="33" t="s">
        <v>42</v>
      </c>
      <c r="B2" s="34">
        <v>62</v>
      </c>
    </row>
    <row r="3" spans="1:2">
      <c r="A3" s="33" t="s">
        <v>43</v>
      </c>
      <c r="B3" s="34">
        <v>6</v>
      </c>
    </row>
    <row r="4" spans="1:2">
      <c r="A4" s="33" t="s">
        <v>44</v>
      </c>
      <c r="B4" s="34">
        <v>6</v>
      </c>
    </row>
    <row r="5" spans="1:2">
      <c r="A5" s="33" t="s">
        <v>45</v>
      </c>
      <c r="B5" s="34">
        <v>2</v>
      </c>
    </row>
    <row r="6" spans="1:2">
      <c r="A6" s="33" t="s">
        <v>46</v>
      </c>
      <c r="B6" s="34">
        <v>6</v>
      </c>
    </row>
    <row r="7" spans="1:2">
      <c r="A7" s="33" t="s">
        <v>47</v>
      </c>
      <c r="B7" s="34">
        <v>15</v>
      </c>
    </row>
    <row r="8" spans="1:2">
      <c r="A8" s="33" t="s">
        <v>48</v>
      </c>
      <c r="B8" s="34">
        <v>3</v>
      </c>
    </row>
    <row r="9" spans="1:2">
      <c r="A9" s="33" t="s">
        <v>49</v>
      </c>
      <c r="B9" s="34">
        <v>15</v>
      </c>
    </row>
    <row r="10" spans="1:2">
      <c r="A10" s="33" t="s">
        <v>52</v>
      </c>
      <c r="B10" s="34">
        <v>2</v>
      </c>
    </row>
    <row r="11" spans="1:2">
      <c r="A11" s="33" t="s">
        <v>53</v>
      </c>
      <c r="B11" s="34">
        <v>41</v>
      </c>
    </row>
    <row r="12" spans="1:2">
      <c r="A12" s="33" t="s">
        <v>54</v>
      </c>
      <c r="B12" s="34">
        <v>14</v>
      </c>
    </row>
    <row r="13" spans="1:2">
      <c r="A13" s="33" t="s">
        <v>55</v>
      </c>
      <c r="B13" s="34">
        <v>9</v>
      </c>
    </row>
    <row r="14" spans="1:2">
      <c r="A14" s="33" t="s">
        <v>56</v>
      </c>
      <c r="B14" s="34">
        <v>49</v>
      </c>
    </row>
    <row r="15" spans="1:2">
      <c r="A15" s="33" t="s">
        <v>58</v>
      </c>
      <c r="B15" s="34">
        <v>2</v>
      </c>
    </row>
    <row r="16" spans="1:2">
      <c r="A16" s="33" t="s">
        <v>59</v>
      </c>
      <c r="B16" s="34">
        <v>26</v>
      </c>
    </row>
    <row r="17" spans="1:2">
      <c r="A17" s="33" t="s">
        <v>60</v>
      </c>
      <c r="B17" s="34">
        <v>5</v>
      </c>
    </row>
    <row r="18" spans="1:2">
      <c r="A18" s="33" t="s">
        <v>63</v>
      </c>
      <c r="B18" s="34">
        <v>11</v>
      </c>
    </row>
    <row r="19" spans="1:2">
      <c r="A19" s="33" t="s">
        <v>64</v>
      </c>
      <c r="B19" s="34">
        <v>52</v>
      </c>
    </row>
    <row r="20" spans="1:2">
      <c r="A20" s="33" t="s">
        <v>67</v>
      </c>
      <c r="B20" s="34">
        <v>37</v>
      </c>
    </row>
    <row r="21" spans="1:2">
      <c r="A21" s="33" t="s">
        <v>68</v>
      </c>
      <c r="B21" s="34">
        <v>32</v>
      </c>
    </row>
    <row r="22" spans="1:2">
      <c r="A22" s="33" t="s">
        <v>70</v>
      </c>
      <c r="B22" s="34">
        <v>28</v>
      </c>
    </row>
    <row r="23" spans="1:2">
      <c r="A23" s="33" t="s">
        <v>71</v>
      </c>
      <c r="B23" s="34">
        <v>26</v>
      </c>
    </row>
    <row r="24" spans="1:2">
      <c r="A24" s="33" t="s">
        <v>72</v>
      </c>
      <c r="B24" s="34">
        <v>13</v>
      </c>
    </row>
    <row r="25" spans="1:2">
      <c r="A25" s="33" t="s">
        <v>73</v>
      </c>
      <c r="B25" s="34">
        <v>2</v>
      </c>
    </row>
    <row r="26" spans="1:2">
      <c r="A26" s="33" t="s">
        <v>74</v>
      </c>
      <c r="B26" s="34">
        <v>2</v>
      </c>
    </row>
    <row r="27" spans="1:2">
      <c r="A27" s="33" t="s">
        <v>75</v>
      </c>
      <c r="B27" s="34">
        <v>2</v>
      </c>
    </row>
    <row r="28" spans="1:2">
      <c r="A28" s="33" t="s">
        <v>76</v>
      </c>
      <c r="B28" s="34">
        <v>9</v>
      </c>
    </row>
    <row r="29" spans="1:2">
      <c r="A29" s="33" t="s">
        <v>77</v>
      </c>
      <c r="B29" s="34">
        <v>11</v>
      </c>
    </row>
    <row r="30" spans="1:2">
      <c r="A30" s="33" t="s">
        <v>78</v>
      </c>
      <c r="B30" s="34">
        <v>14</v>
      </c>
    </row>
    <row r="31" spans="1:2">
      <c r="A31" s="33" t="s">
        <v>80</v>
      </c>
      <c r="B31" s="34">
        <v>5</v>
      </c>
    </row>
    <row r="32" spans="1:2">
      <c r="A32" s="33" t="s">
        <v>81</v>
      </c>
      <c r="B32" s="34">
        <v>12</v>
      </c>
    </row>
    <row r="33" spans="1:2">
      <c r="A33" s="33" t="s">
        <v>82</v>
      </c>
      <c r="B33" s="34">
        <v>2</v>
      </c>
    </row>
    <row r="34" spans="1:2">
      <c r="A34" s="33" t="s">
        <v>83</v>
      </c>
      <c r="B34" s="34">
        <v>3</v>
      </c>
    </row>
    <row r="35" spans="1:2">
      <c r="A35" s="33" t="s">
        <v>84</v>
      </c>
      <c r="B35" s="34">
        <v>2</v>
      </c>
    </row>
    <row r="36" spans="1:2">
      <c r="A36" s="33" t="s">
        <v>85</v>
      </c>
      <c r="B36" s="34">
        <v>1</v>
      </c>
    </row>
    <row r="37" spans="1:2">
      <c r="A37" s="33" t="s">
        <v>86</v>
      </c>
      <c r="B37" s="34">
        <v>2</v>
      </c>
    </row>
    <row r="38" spans="1:2">
      <c r="A38" s="33" t="s">
        <v>87</v>
      </c>
      <c r="B38" s="34">
        <v>3</v>
      </c>
    </row>
    <row r="39" spans="1:2">
      <c r="A39" s="33" t="s">
        <v>88</v>
      </c>
      <c r="B39" s="34">
        <v>2</v>
      </c>
    </row>
    <row r="40" spans="1:2">
      <c r="A40" s="33" t="s">
        <v>89</v>
      </c>
      <c r="B40" s="34">
        <v>2</v>
      </c>
    </row>
    <row r="41" spans="1:2">
      <c r="A41" s="33" t="s">
        <v>91</v>
      </c>
      <c r="B41" s="34">
        <v>3</v>
      </c>
    </row>
    <row r="42" spans="1:2">
      <c r="A42" s="33" t="s">
        <v>92</v>
      </c>
      <c r="B42" s="34">
        <v>2</v>
      </c>
    </row>
    <row r="43" spans="1:2">
      <c r="A43" s="33" t="s">
        <v>93</v>
      </c>
      <c r="B43" s="34">
        <v>1</v>
      </c>
    </row>
    <row r="44" spans="1:2">
      <c r="A44" s="33" t="s">
        <v>95</v>
      </c>
      <c r="B44" s="34">
        <v>2</v>
      </c>
    </row>
    <row r="45" spans="1:2">
      <c r="A45" s="33" t="s">
        <v>96</v>
      </c>
      <c r="B45" s="34">
        <v>4</v>
      </c>
    </row>
    <row r="46" spans="1:2">
      <c r="A46" s="33" t="s">
        <v>97</v>
      </c>
      <c r="B46" s="34">
        <v>3</v>
      </c>
    </row>
    <row r="47" spans="1:2">
      <c r="A47" s="33" t="s">
        <v>98</v>
      </c>
      <c r="B47" s="34">
        <v>15</v>
      </c>
    </row>
    <row r="48" spans="1:2">
      <c r="A48" s="33" t="s">
        <v>99</v>
      </c>
      <c r="B48" s="34">
        <v>4</v>
      </c>
    </row>
    <row r="49" spans="1:2">
      <c r="A49" s="33" t="s">
        <v>101</v>
      </c>
      <c r="B49" s="34">
        <v>2</v>
      </c>
    </row>
    <row r="50" spans="1:2">
      <c r="A50" s="33" t="s">
        <v>102</v>
      </c>
      <c r="B50" s="34">
        <v>2</v>
      </c>
    </row>
    <row r="51" spans="1:2">
      <c r="A51" s="33" t="s">
        <v>103</v>
      </c>
      <c r="B51" s="34">
        <v>2</v>
      </c>
    </row>
    <row r="52" spans="1:2">
      <c r="A52" s="33" t="s">
        <v>104</v>
      </c>
      <c r="B52" s="34">
        <v>3</v>
      </c>
    </row>
    <row r="53" spans="1:2">
      <c r="A53" s="33" t="s">
        <v>105</v>
      </c>
      <c r="B53" s="34">
        <v>8</v>
      </c>
    </row>
    <row r="54" spans="1:2">
      <c r="A54" s="33" t="s">
        <v>106</v>
      </c>
      <c r="B54" s="34">
        <v>5</v>
      </c>
    </row>
    <row r="55" spans="1:2">
      <c r="A55" s="33" t="s">
        <v>107</v>
      </c>
      <c r="B55" s="34">
        <v>9</v>
      </c>
    </row>
    <row r="56" spans="1:2">
      <c r="A56" s="33" t="s">
        <v>109</v>
      </c>
      <c r="B56" s="34">
        <v>6</v>
      </c>
    </row>
    <row r="57" spans="1:2">
      <c r="A57" s="33" t="s">
        <v>110</v>
      </c>
      <c r="B57" s="34">
        <v>14</v>
      </c>
    </row>
    <row r="58" spans="1:2">
      <c r="A58" s="33" t="s">
        <v>112</v>
      </c>
      <c r="B58" s="34">
        <v>9</v>
      </c>
    </row>
    <row r="59" spans="1:2">
      <c r="A59" s="33" t="s">
        <v>115</v>
      </c>
      <c r="B59" s="34">
        <v>9</v>
      </c>
    </row>
    <row r="60" spans="1:2">
      <c r="A60" s="33" t="s">
        <v>116</v>
      </c>
      <c r="B60" s="34">
        <v>3</v>
      </c>
    </row>
    <row r="61" spans="1:2">
      <c r="A61" s="33" t="s">
        <v>117</v>
      </c>
      <c r="B61" s="34">
        <v>8</v>
      </c>
    </row>
    <row r="62" spans="1:2">
      <c r="A62" s="33" t="s">
        <v>118</v>
      </c>
      <c r="B62" s="34">
        <v>6</v>
      </c>
    </row>
    <row r="63" spans="1:2">
      <c r="A63" s="33" t="s">
        <v>119</v>
      </c>
      <c r="B63" s="34">
        <v>8</v>
      </c>
    </row>
    <row r="64" spans="1:2">
      <c r="A64" s="33" t="s">
        <v>120</v>
      </c>
      <c r="B64" s="34">
        <v>17</v>
      </c>
    </row>
    <row r="65" spans="1:2">
      <c r="A65" s="33" t="s">
        <v>121</v>
      </c>
      <c r="B65" s="34">
        <v>7</v>
      </c>
    </row>
    <row r="66" spans="1:2">
      <c r="A66" s="33" t="s">
        <v>122</v>
      </c>
      <c r="B66" s="34">
        <v>13</v>
      </c>
    </row>
    <row r="67" spans="1:2">
      <c r="A67" s="33" t="s">
        <v>123</v>
      </c>
      <c r="B67" s="34">
        <v>14</v>
      </c>
    </row>
    <row r="68" spans="1:2">
      <c r="A68" s="33" t="s">
        <v>125</v>
      </c>
      <c r="B68" s="34">
        <v>4</v>
      </c>
    </row>
    <row r="69" spans="1:2">
      <c r="A69" s="33" t="s">
        <v>127</v>
      </c>
      <c r="B69" s="34">
        <v>12</v>
      </c>
    </row>
    <row r="70" spans="1:2">
      <c r="A70" s="33" t="s">
        <v>130</v>
      </c>
      <c r="B70" s="34">
        <v>7</v>
      </c>
    </row>
    <row r="71" spans="1:2">
      <c r="A71" s="33" t="s">
        <v>131</v>
      </c>
      <c r="B71" s="34">
        <v>2</v>
      </c>
    </row>
    <row r="72" spans="1:2">
      <c r="A72" s="33" t="s">
        <v>132</v>
      </c>
      <c r="B72" s="34">
        <v>4</v>
      </c>
    </row>
    <row r="73" spans="1:2">
      <c r="A73" s="33" t="s">
        <v>133</v>
      </c>
      <c r="B73" s="34">
        <v>6</v>
      </c>
    </row>
    <row r="74" spans="1:2">
      <c r="A74" s="33" t="s">
        <v>135</v>
      </c>
      <c r="B74" s="34">
        <v>10</v>
      </c>
    </row>
    <row r="75" spans="1:2">
      <c r="A75" s="33" t="s">
        <v>136</v>
      </c>
      <c r="B75" s="34">
        <v>2</v>
      </c>
    </row>
    <row r="76" spans="1:2">
      <c r="A76" s="33" t="s">
        <v>137</v>
      </c>
      <c r="B76" s="34">
        <v>1</v>
      </c>
    </row>
    <row r="77" spans="1:2">
      <c r="A77" s="33" t="s">
        <v>138</v>
      </c>
      <c r="B77" s="34">
        <v>4</v>
      </c>
    </row>
    <row r="78" spans="1:2">
      <c r="A78" s="33" t="s">
        <v>140</v>
      </c>
      <c r="B78" s="34">
        <v>3</v>
      </c>
    </row>
    <row r="79" spans="1:2">
      <c r="A79" s="33" t="s">
        <v>141</v>
      </c>
      <c r="B79" s="34">
        <v>12</v>
      </c>
    </row>
    <row r="80" spans="1:2">
      <c r="A80" s="33" t="s">
        <v>143</v>
      </c>
      <c r="B80" s="34">
        <v>20</v>
      </c>
    </row>
    <row r="81" spans="1:2">
      <c r="A81" s="33" t="s">
        <v>144</v>
      </c>
      <c r="B81" s="34">
        <v>50</v>
      </c>
    </row>
    <row r="82" spans="1:2">
      <c r="A82" s="33" t="s">
        <v>145</v>
      </c>
      <c r="B82" s="34">
        <v>1</v>
      </c>
    </row>
    <row r="83" spans="1:2">
      <c r="A83" s="33" t="s">
        <v>146</v>
      </c>
      <c r="B83" s="34">
        <v>29</v>
      </c>
    </row>
    <row r="84" spans="1:2">
      <c r="A84" s="33" t="s">
        <v>148</v>
      </c>
      <c r="B84" s="34">
        <v>25</v>
      </c>
    </row>
    <row r="85" spans="1:2">
      <c r="A85" s="33" t="s">
        <v>149</v>
      </c>
      <c r="B85" s="34">
        <v>23</v>
      </c>
    </row>
    <row r="86" spans="1:2">
      <c r="A86" s="33" t="s">
        <v>150</v>
      </c>
      <c r="B86" s="34">
        <v>10</v>
      </c>
    </row>
    <row r="87" spans="1:2">
      <c r="A87" s="33" t="s">
        <v>151</v>
      </c>
      <c r="B87" s="34">
        <v>6</v>
      </c>
    </row>
    <row r="88" spans="1:2">
      <c r="A88" s="33" t="s">
        <v>152</v>
      </c>
      <c r="B88" s="34">
        <v>3</v>
      </c>
    </row>
    <row r="89" spans="1:2">
      <c r="A89" s="33" t="s">
        <v>171</v>
      </c>
      <c r="B89" s="34">
        <v>1</v>
      </c>
    </row>
    <row r="90" spans="1:2">
      <c r="A90" s="33" t="s">
        <v>153</v>
      </c>
      <c r="B90" s="34">
        <v>10</v>
      </c>
    </row>
    <row r="91" spans="1:2">
      <c r="A91" s="33" t="s">
        <v>156</v>
      </c>
      <c r="B91" s="34">
        <v>7</v>
      </c>
    </row>
    <row r="92" spans="1:2">
      <c r="A92" s="33" t="s">
        <v>157</v>
      </c>
      <c r="B92" s="34">
        <v>3</v>
      </c>
    </row>
    <row r="93" spans="1:2">
      <c r="A93" s="33" t="s">
        <v>158</v>
      </c>
      <c r="B93" s="34">
        <v>4</v>
      </c>
    </row>
    <row r="94" spans="1:2">
      <c r="A94" s="33" t="s">
        <v>159</v>
      </c>
      <c r="B94" s="34">
        <v>8</v>
      </c>
    </row>
    <row r="95" spans="1:2">
      <c r="A95" s="33" t="s">
        <v>160</v>
      </c>
      <c r="B95" s="34">
        <v>10</v>
      </c>
    </row>
    <row r="96" spans="1:2">
      <c r="A96" s="33" t="s">
        <v>162</v>
      </c>
      <c r="B96" s="34">
        <v>7</v>
      </c>
    </row>
    <row r="97" spans="1:2">
      <c r="A97" s="33" t="s">
        <v>163</v>
      </c>
      <c r="B97" s="34">
        <v>1</v>
      </c>
    </row>
    <row r="98" spans="1:2">
      <c r="A98" s="33" t="s">
        <v>165</v>
      </c>
      <c r="B98" s="34">
        <v>4</v>
      </c>
    </row>
    <row r="99" spans="1:2">
      <c r="A99" s="33" t="s">
        <v>167</v>
      </c>
      <c r="B99" s="34">
        <v>9</v>
      </c>
    </row>
    <row r="100" spans="1:2">
      <c r="A100" s="33" t="s">
        <v>168</v>
      </c>
      <c r="B100" s="34">
        <v>5</v>
      </c>
    </row>
    <row r="101" spans="1:2">
      <c r="A101" s="33" t="s">
        <v>169</v>
      </c>
      <c r="B101" s="34">
        <v>7</v>
      </c>
    </row>
    <row r="102" spans="1:2">
      <c r="A102" s="33" t="s">
        <v>170</v>
      </c>
      <c r="B102" s="34">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9"/>
  <sheetViews>
    <sheetView workbookViewId="0">
      <selection activeCell="B12" sqref="B12:J15"/>
    </sheetView>
  </sheetViews>
  <sheetFormatPr defaultColWidth="9.5703125" defaultRowHeight="15"/>
  <cols>
    <col min="1" max="1" width="11" style="58" bestFit="1" customWidth="1"/>
    <col min="2" max="2" width="15" style="58" bestFit="1" customWidth="1"/>
    <col min="3" max="3" width="38.7109375" style="76" bestFit="1" customWidth="1"/>
    <col min="4" max="5" width="10.5703125" style="58" customWidth="1"/>
    <col min="6" max="6" width="6.42578125" style="58" bestFit="1" customWidth="1"/>
    <col min="7" max="7" width="8.5703125" style="58" bestFit="1" customWidth="1"/>
    <col min="8" max="8" width="36" style="58" customWidth="1"/>
    <col min="9" max="16384" width="9.5703125" style="58"/>
  </cols>
  <sheetData>
    <row r="2" spans="1:9" ht="45">
      <c r="A2" s="55" t="s">
        <v>226</v>
      </c>
      <c r="B2" s="56" t="s">
        <v>227</v>
      </c>
      <c r="C2" s="57" t="s">
        <v>172</v>
      </c>
      <c r="D2" s="56" t="s">
        <v>228</v>
      </c>
      <c r="E2" s="55" t="s">
        <v>229</v>
      </c>
      <c r="F2" s="56" t="s">
        <v>230</v>
      </c>
      <c r="G2" s="56" t="s">
        <v>19</v>
      </c>
      <c r="H2" s="55" t="s">
        <v>231</v>
      </c>
    </row>
    <row r="3" spans="1:9">
      <c r="A3" s="59" t="s">
        <v>232</v>
      </c>
      <c r="B3" s="59" t="s">
        <v>233</v>
      </c>
      <c r="C3" s="60" t="s">
        <v>50</v>
      </c>
      <c r="D3" s="61">
        <v>48.710388528170043</v>
      </c>
      <c r="E3" s="61">
        <v>48.710388528170043</v>
      </c>
      <c r="F3" s="62">
        <v>1</v>
      </c>
      <c r="G3" s="63">
        <v>10365</v>
      </c>
      <c r="H3" s="64" t="s">
        <v>234</v>
      </c>
    </row>
    <row r="4" spans="1:9">
      <c r="A4" s="65" t="s">
        <v>236</v>
      </c>
      <c r="B4" s="65" t="s">
        <v>237</v>
      </c>
      <c r="C4" s="66" t="s">
        <v>159</v>
      </c>
      <c r="D4" s="67">
        <v>60.703179867342961</v>
      </c>
      <c r="E4" s="67">
        <v>60.703179867342961</v>
      </c>
      <c r="F4" s="68">
        <v>2</v>
      </c>
      <c r="G4" s="69">
        <v>27000</v>
      </c>
      <c r="H4" s="70" t="s">
        <v>234</v>
      </c>
    </row>
    <row r="5" spans="1:9">
      <c r="A5" s="59" t="s">
        <v>236</v>
      </c>
      <c r="B5" s="59" t="s">
        <v>237</v>
      </c>
      <c r="C5" s="60" t="s">
        <v>162</v>
      </c>
      <c r="D5" s="61">
        <v>53.307313421073367</v>
      </c>
      <c r="E5" s="61">
        <v>53.307313421073367</v>
      </c>
      <c r="F5" s="62">
        <v>2</v>
      </c>
      <c r="G5" s="63">
        <v>17005</v>
      </c>
      <c r="H5" s="64" t="s">
        <v>234</v>
      </c>
    </row>
    <row r="6" spans="1:9" ht="28.5">
      <c r="A6" s="65" t="s">
        <v>236</v>
      </c>
      <c r="B6" s="65" t="s">
        <v>233</v>
      </c>
      <c r="C6" s="66" t="s">
        <v>273</v>
      </c>
      <c r="D6" s="67">
        <v>53.560955531894301</v>
      </c>
      <c r="E6" s="67">
        <v>53.560955531894301</v>
      </c>
      <c r="F6" s="68">
        <v>3</v>
      </c>
      <c r="G6" s="69">
        <v>21555</v>
      </c>
      <c r="H6" s="70" t="s">
        <v>234</v>
      </c>
    </row>
    <row r="7" spans="1:9">
      <c r="A7" s="59" t="s">
        <v>238</v>
      </c>
      <c r="B7" s="59" t="s">
        <v>233</v>
      </c>
      <c r="C7" s="60" t="s">
        <v>66</v>
      </c>
      <c r="D7" s="61">
        <v>86.727322828282837</v>
      </c>
      <c r="E7" s="61">
        <v>86.727322828282837</v>
      </c>
      <c r="F7" s="62">
        <v>0.32</v>
      </c>
      <c r="G7" s="63">
        <v>1528</v>
      </c>
      <c r="H7" s="64" t="s">
        <v>234</v>
      </c>
      <c r="I7" s="80" t="s">
        <v>235</v>
      </c>
    </row>
    <row r="8" spans="1:9">
      <c r="A8" s="65" t="s">
        <v>239</v>
      </c>
      <c r="B8" s="65" t="s">
        <v>233</v>
      </c>
      <c r="C8" s="66" t="s">
        <v>41</v>
      </c>
      <c r="D8" s="67">
        <v>59.806442528646045</v>
      </c>
      <c r="E8" s="67">
        <v>59.806442528646045</v>
      </c>
      <c r="F8" s="68">
        <v>6</v>
      </c>
      <c r="G8" s="69">
        <v>10967</v>
      </c>
      <c r="H8" s="70" t="s">
        <v>234</v>
      </c>
      <c r="I8" s="80" t="s">
        <v>235</v>
      </c>
    </row>
    <row r="9" spans="1:9">
      <c r="A9" s="59" t="s">
        <v>239</v>
      </c>
      <c r="B9" s="59" t="s">
        <v>233</v>
      </c>
      <c r="C9" s="60" t="s">
        <v>61</v>
      </c>
      <c r="D9" s="61">
        <v>105.09753872282609</v>
      </c>
      <c r="E9" s="61">
        <v>105.09753872282609</v>
      </c>
      <c r="F9" s="62">
        <v>3</v>
      </c>
      <c r="G9" s="63">
        <v>857</v>
      </c>
      <c r="H9" s="64" t="s">
        <v>234</v>
      </c>
      <c r="I9" s="80" t="s">
        <v>235</v>
      </c>
    </row>
    <row r="10" spans="1:9">
      <c r="A10" s="65" t="s">
        <v>239</v>
      </c>
      <c r="B10" s="65" t="s">
        <v>233</v>
      </c>
      <c r="C10" s="66" t="s">
        <v>66</v>
      </c>
      <c r="D10" s="67">
        <v>86.727322828282837</v>
      </c>
      <c r="E10" s="67">
        <v>86.727322828282837</v>
      </c>
      <c r="F10" s="68">
        <v>6</v>
      </c>
      <c r="G10" s="69">
        <v>6232</v>
      </c>
      <c r="H10" s="70" t="s">
        <v>234</v>
      </c>
      <c r="I10" s="80" t="s">
        <v>235</v>
      </c>
    </row>
    <row r="11" spans="1:9">
      <c r="A11" s="59" t="s">
        <v>239</v>
      </c>
      <c r="B11" s="59" t="s">
        <v>240</v>
      </c>
      <c r="C11" s="60" t="s">
        <v>241</v>
      </c>
      <c r="D11" s="61">
        <v>46.84</v>
      </c>
      <c r="E11" s="61">
        <v>46.84</v>
      </c>
      <c r="F11" s="62">
        <v>22</v>
      </c>
      <c r="G11" s="63">
        <v>65419</v>
      </c>
      <c r="H11" s="64" t="s">
        <v>234</v>
      </c>
      <c r="I11" s="80" t="s">
        <v>235</v>
      </c>
    </row>
    <row r="12" spans="1:9">
      <c r="A12" s="65" t="s">
        <v>239</v>
      </c>
      <c r="B12" s="65" t="s">
        <v>233</v>
      </c>
      <c r="C12" s="66" t="s">
        <v>276</v>
      </c>
      <c r="D12" s="67">
        <v>88.896599128899368</v>
      </c>
      <c r="E12" s="67">
        <v>88.896599128899368</v>
      </c>
      <c r="F12" s="68">
        <v>6</v>
      </c>
      <c r="G12" s="69">
        <v>9510</v>
      </c>
      <c r="H12" s="70" t="s">
        <v>234</v>
      </c>
      <c r="I12" s="80" t="s">
        <v>235</v>
      </c>
    </row>
    <row r="13" spans="1:9" ht="28.5">
      <c r="A13" s="59" t="s">
        <v>242</v>
      </c>
      <c r="B13" s="59" t="s">
        <v>243</v>
      </c>
      <c r="C13" s="60" t="s">
        <v>265</v>
      </c>
      <c r="D13" s="61">
        <v>39.909999999999997</v>
      </c>
      <c r="E13" s="61">
        <v>39.909999999999997</v>
      </c>
      <c r="F13" s="62">
        <v>2</v>
      </c>
      <c r="G13" s="63">
        <v>13381</v>
      </c>
      <c r="H13" s="64" t="s">
        <v>234</v>
      </c>
      <c r="I13" s="80" t="s">
        <v>235</v>
      </c>
    </row>
    <row r="14" spans="1:9">
      <c r="A14" s="65" t="s">
        <v>242</v>
      </c>
      <c r="B14" s="65" t="s">
        <v>243</v>
      </c>
      <c r="C14" s="66" t="s">
        <v>84</v>
      </c>
      <c r="D14" s="67">
        <v>45.85</v>
      </c>
      <c r="E14" s="67">
        <v>45.85</v>
      </c>
      <c r="F14" s="68">
        <v>3</v>
      </c>
      <c r="G14" s="69">
        <v>18966</v>
      </c>
      <c r="H14" s="70" t="s">
        <v>234</v>
      </c>
      <c r="I14" s="80" t="s">
        <v>235</v>
      </c>
    </row>
    <row r="15" spans="1:9">
      <c r="A15" s="59" t="s">
        <v>242</v>
      </c>
      <c r="B15" s="59" t="s">
        <v>243</v>
      </c>
      <c r="C15" s="60" t="s">
        <v>85</v>
      </c>
      <c r="D15" s="61">
        <v>56.78</v>
      </c>
      <c r="E15" s="61">
        <v>56.78</v>
      </c>
      <c r="F15" s="62">
        <v>1</v>
      </c>
      <c r="G15" s="63">
        <v>2746</v>
      </c>
      <c r="H15" s="64" t="s">
        <v>234</v>
      </c>
      <c r="I15" s="80" t="s">
        <v>235</v>
      </c>
    </row>
    <row r="16" spans="1:9" ht="28.5">
      <c r="A16" s="65" t="s">
        <v>242</v>
      </c>
      <c r="B16" s="65" t="s">
        <v>244</v>
      </c>
      <c r="C16" s="66" t="s">
        <v>83</v>
      </c>
      <c r="D16" s="67">
        <v>37.15</v>
      </c>
      <c r="E16" s="67">
        <v>37.15</v>
      </c>
      <c r="F16" s="68">
        <v>3</v>
      </c>
      <c r="G16" s="69">
        <v>26970</v>
      </c>
      <c r="H16" s="70" t="s">
        <v>234</v>
      </c>
      <c r="I16" s="80" t="s">
        <v>235</v>
      </c>
    </row>
    <row r="17" spans="1:9">
      <c r="A17" s="59" t="s">
        <v>245</v>
      </c>
      <c r="B17" s="59" t="s">
        <v>244</v>
      </c>
      <c r="C17" s="60" t="s">
        <v>246</v>
      </c>
      <c r="D17" s="61">
        <v>54.56</v>
      </c>
      <c r="E17" s="61">
        <v>54.56</v>
      </c>
      <c r="F17" s="62">
        <v>1</v>
      </c>
      <c r="G17" s="63">
        <v>4803</v>
      </c>
      <c r="H17" s="64" t="s">
        <v>234</v>
      </c>
      <c r="I17" s="80" t="s">
        <v>235</v>
      </c>
    </row>
    <row r="18" spans="1:9">
      <c r="A18" s="59" t="s">
        <v>247</v>
      </c>
      <c r="B18" s="59" t="s">
        <v>237</v>
      </c>
      <c r="C18" s="60" t="s">
        <v>99</v>
      </c>
      <c r="D18" s="61">
        <v>38.91984010098885</v>
      </c>
      <c r="E18" s="61">
        <v>38.91984010098885</v>
      </c>
      <c r="F18" s="62">
        <v>8</v>
      </c>
      <c r="G18" s="63">
        <v>50222</v>
      </c>
      <c r="H18" s="64" t="s">
        <v>234</v>
      </c>
      <c r="I18" s="80" t="s">
        <v>235</v>
      </c>
    </row>
    <row r="19" spans="1:9">
      <c r="A19" s="65" t="s">
        <v>248</v>
      </c>
      <c r="B19" s="65" t="s">
        <v>233</v>
      </c>
      <c r="C19" s="66" t="s">
        <v>137</v>
      </c>
      <c r="D19" s="67">
        <v>55.03953637030056</v>
      </c>
      <c r="E19" s="67">
        <v>68.799420462875702</v>
      </c>
      <c r="F19" s="68">
        <v>2</v>
      </c>
      <c r="G19" s="69">
        <v>3765</v>
      </c>
      <c r="H19" s="70" t="s">
        <v>234</v>
      </c>
      <c r="I19" s="80" t="s">
        <v>235</v>
      </c>
    </row>
    <row r="20" spans="1:9" ht="28.5">
      <c r="A20" s="59" t="s">
        <v>249</v>
      </c>
      <c r="B20" s="59" t="s">
        <v>233</v>
      </c>
      <c r="C20" s="60" t="s">
        <v>274</v>
      </c>
      <c r="D20" s="61">
        <v>53.881193275130947</v>
      </c>
      <c r="E20" s="61">
        <v>53.881193275130947</v>
      </c>
      <c r="F20" s="62">
        <v>2</v>
      </c>
      <c r="G20" s="63">
        <v>8100</v>
      </c>
      <c r="H20" s="64" t="s">
        <v>234</v>
      </c>
      <c r="I20" s="80" t="s">
        <v>235</v>
      </c>
    </row>
    <row r="21" spans="1:9">
      <c r="A21" s="65" t="s">
        <v>250</v>
      </c>
      <c r="B21" s="65" t="s">
        <v>240</v>
      </c>
      <c r="C21" s="66" t="s">
        <v>113</v>
      </c>
      <c r="D21" s="67">
        <v>64.23</v>
      </c>
      <c r="E21" s="67">
        <v>80.28</v>
      </c>
      <c r="F21" s="68">
        <v>2</v>
      </c>
      <c r="G21" s="69">
        <v>5854</v>
      </c>
      <c r="H21" s="70" t="s">
        <v>234</v>
      </c>
      <c r="I21" s="80" t="s">
        <v>235</v>
      </c>
    </row>
    <row r="22" spans="1:9">
      <c r="A22" s="59" t="s">
        <v>170</v>
      </c>
      <c r="B22" s="59" t="s">
        <v>233</v>
      </c>
      <c r="C22" s="60" t="s">
        <v>140</v>
      </c>
      <c r="D22" s="61">
        <v>57.09803110288739</v>
      </c>
      <c r="E22" s="61">
        <v>71.372538878609234</v>
      </c>
      <c r="F22" s="62">
        <v>3</v>
      </c>
      <c r="G22" s="63">
        <v>13500</v>
      </c>
      <c r="H22" s="64" t="s">
        <v>234</v>
      </c>
      <c r="I22" s="80" t="s">
        <v>235</v>
      </c>
    </row>
    <row r="23" spans="1:9">
      <c r="A23" s="65" t="s">
        <v>250</v>
      </c>
      <c r="B23" s="65" t="s">
        <v>237</v>
      </c>
      <c r="C23" s="66" t="s">
        <v>156</v>
      </c>
      <c r="D23" s="67">
        <v>52.441131237183868</v>
      </c>
      <c r="E23" s="67">
        <v>52.441131237183868</v>
      </c>
      <c r="F23" s="68">
        <v>2</v>
      </c>
      <c r="G23" s="69">
        <v>12257</v>
      </c>
      <c r="H23" s="70" t="s">
        <v>251</v>
      </c>
      <c r="I23" s="80" t="s">
        <v>235</v>
      </c>
    </row>
    <row r="24" spans="1:9">
      <c r="A24" s="59" t="s">
        <v>232</v>
      </c>
      <c r="B24" s="59" t="s">
        <v>237</v>
      </c>
      <c r="C24" s="60" t="s">
        <v>52</v>
      </c>
      <c r="D24" s="61">
        <v>49.78</v>
      </c>
      <c r="E24" s="71">
        <v>49.78</v>
      </c>
      <c r="F24" s="62">
        <v>2.85</v>
      </c>
      <c r="G24" s="63">
        <v>16802</v>
      </c>
      <c r="H24" s="64" t="s">
        <v>253</v>
      </c>
      <c r="I24" s="80" t="s">
        <v>235</v>
      </c>
    </row>
    <row r="25" spans="1:9">
      <c r="A25" s="65" t="s">
        <v>238</v>
      </c>
      <c r="B25" s="65" t="s">
        <v>233</v>
      </c>
      <c r="C25" s="66" t="s">
        <v>58</v>
      </c>
      <c r="D25" s="67">
        <v>43.34</v>
      </c>
      <c r="E25" s="72">
        <v>43.34</v>
      </c>
      <c r="F25" s="68">
        <v>2</v>
      </c>
      <c r="G25" s="69">
        <v>14017</v>
      </c>
      <c r="H25" s="70" t="s">
        <v>253</v>
      </c>
      <c r="I25" s="80" t="s">
        <v>235</v>
      </c>
    </row>
    <row r="26" spans="1:9">
      <c r="A26" s="59" t="s">
        <v>238</v>
      </c>
      <c r="B26" s="59" t="s">
        <v>237</v>
      </c>
      <c r="C26" s="60" t="s">
        <v>275</v>
      </c>
      <c r="D26" s="61">
        <v>50.6</v>
      </c>
      <c r="E26" s="71">
        <v>50.6</v>
      </c>
      <c r="F26" s="62">
        <v>4</v>
      </c>
      <c r="G26" s="63">
        <v>3535</v>
      </c>
      <c r="H26" s="64" t="s">
        <v>253</v>
      </c>
      <c r="I26" s="80" t="s">
        <v>235</v>
      </c>
    </row>
    <row r="27" spans="1:9">
      <c r="A27" s="65" t="s">
        <v>232</v>
      </c>
      <c r="B27" s="65" t="s">
        <v>252</v>
      </c>
      <c r="C27" s="66" t="s">
        <v>116</v>
      </c>
      <c r="D27" s="67">
        <v>81.3</v>
      </c>
      <c r="E27" s="67">
        <v>81.3</v>
      </c>
      <c r="F27" s="68">
        <v>13</v>
      </c>
      <c r="G27" s="69">
        <v>72000</v>
      </c>
      <c r="H27" s="73" t="s">
        <v>255</v>
      </c>
      <c r="I27" s="80" t="s">
        <v>235</v>
      </c>
    </row>
    <row r="28" spans="1:9" ht="30">
      <c r="A28" s="59" t="s">
        <v>254</v>
      </c>
      <c r="B28" s="59" t="s">
        <v>233</v>
      </c>
      <c r="C28" s="60" t="s">
        <v>268</v>
      </c>
      <c r="D28" s="61">
        <v>126.47761629240001</v>
      </c>
      <c r="E28" s="71">
        <v>126.47761629240001</v>
      </c>
      <c r="F28" s="62">
        <v>2</v>
      </c>
      <c r="G28" s="63">
        <v>12686</v>
      </c>
      <c r="H28" s="74" t="s">
        <v>256</v>
      </c>
      <c r="I28" s="80" t="s">
        <v>235</v>
      </c>
    </row>
    <row r="29" spans="1:9">
      <c r="A29" s="65" t="s">
        <v>248</v>
      </c>
      <c r="B29" s="65" t="s">
        <v>233</v>
      </c>
      <c r="C29" s="66" t="s">
        <v>125</v>
      </c>
      <c r="D29" s="67">
        <v>79.879612379935963</v>
      </c>
      <c r="E29" s="67">
        <v>79.879612379935963</v>
      </c>
      <c r="F29" s="68">
        <v>1</v>
      </c>
      <c r="G29" s="69">
        <v>7309</v>
      </c>
      <c r="H29" s="75" t="s">
        <v>257</v>
      </c>
      <c r="I29" s="80" t="s">
        <v>235</v>
      </c>
    </row>
  </sheetData>
  <pageMargins left="0.7" right="0.7" top="0.75" bottom="0.75" header="0.3" footer="0.3"/>
  <pageSetup paperSize="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B12" sqref="B12:J15"/>
    </sheetView>
  </sheetViews>
  <sheetFormatPr defaultColWidth="8.7109375" defaultRowHeight="15"/>
  <cols>
    <col min="1" max="1" width="44.42578125" style="22" bestFit="1" customWidth="1"/>
    <col min="2" max="2" width="23.7109375" style="22" bestFit="1" customWidth="1"/>
    <col min="3" max="3" width="8.7109375" style="31"/>
    <col min="4" max="16384" width="8.7109375" style="22"/>
  </cols>
  <sheetData>
    <row r="1" spans="1:3">
      <c r="A1" s="22" t="s">
        <v>172</v>
      </c>
      <c r="B1" s="22" t="s">
        <v>173</v>
      </c>
    </row>
    <row r="2" spans="1:3">
      <c r="A2" s="35" t="s">
        <v>41</v>
      </c>
      <c r="B2" s="22" t="s">
        <v>39</v>
      </c>
      <c r="C2" s="31">
        <v>49.2</v>
      </c>
    </row>
    <row r="3" spans="1:3">
      <c r="A3" s="36" t="s">
        <v>42</v>
      </c>
      <c r="B3" s="22" t="s">
        <v>39</v>
      </c>
      <c r="C3" s="31">
        <v>49.099999999999945</v>
      </c>
    </row>
    <row r="4" spans="1:3">
      <c r="A4" s="35" t="s">
        <v>52</v>
      </c>
      <c r="B4" s="22" t="s">
        <v>39</v>
      </c>
      <c r="C4" s="31">
        <v>45.31</v>
      </c>
    </row>
    <row r="5" spans="1:3">
      <c r="A5" s="35" t="s">
        <v>58</v>
      </c>
      <c r="B5" s="22" t="s">
        <v>39</v>
      </c>
      <c r="C5" s="31">
        <v>39.71</v>
      </c>
    </row>
    <row r="6" spans="1:3">
      <c r="A6" s="35" t="s">
        <v>75</v>
      </c>
      <c r="B6" s="22" t="s">
        <v>39</v>
      </c>
      <c r="C6" s="31">
        <v>46.5</v>
      </c>
    </row>
    <row r="7" spans="1:3">
      <c r="A7" s="35" t="s">
        <v>83</v>
      </c>
      <c r="B7" s="22" t="s">
        <v>39</v>
      </c>
      <c r="C7" s="31">
        <v>34.943333333333335</v>
      </c>
    </row>
    <row r="8" spans="1:3">
      <c r="A8" s="35" t="s">
        <v>84</v>
      </c>
      <c r="B8" s="22" t="s">
        <v>39</v>
      </c>
      <c r="C8" s="31">
        <v>43.13</v>
      </c>
    </row>
    <row r="9" spans="1:3">
      <c r="A9" s="35" t="s">
        <v>85</v>
      </c>
      <c r="B9" s="22" t="s">
        <v>39</v>
      </c>
      <c r="C9" s="31">
        <v>32.929999999999993</v>
      </c>
    </row>
    <row r="10" spans="1:3">
      <c r="A10" s="35" t="s">
        <v>86</v>
      </c>
      <c r="B10" s="22" t="s">
        <v>39</v>
      </c>
      <c r="C10" s="31">
        <v>34.47</v>
      </c>
    </row>
    <row r="11" spans="1:3">
      <c r="A11" s="35" t="s">
        <v>93</v>
      </c>
      <c r="B11" s="22" t="s">
        <v>39</v>
      </c>
      <c r="C11" s="31">
        <v>43.580000000000005</v>
      </c>
    </row>
    <row r="12" spans="1:3">
      <c r="A12" s="35" t="s">
        <v>101</v>
      </c>
      <c r="B12" s="22" t="s">
        <v>39</v>
      </c>
      <c r="C12" s="31">
        <v>36.22</v>
      </c>
    </row>
    <row r="13" spans="1:3">
      <c r="A13" s="35" t="s">
        <v>102</v>
      </c>
      <c r="B13" s="22" t="s">
        <v>39</v>
      </c>
      <c r="C13" s="31">
        <v>36.22</v>
      </c>
    </row>
    <row r="14" spans="1:3">
      <c r="A14" s="35" t="s">
        <v>103</v>
      </c>
      <c r="B14" s="22" t="s">
        <v>39</v>
      </c>
      <c r="C14" s="31">
        <v>36.22</v>
      </c>
    </row>
    <row r="15" spans="1:3">
      <c r="A15" s="35" t="s">
        <v>104</v>
      </c>
      <c r="B15" s="22" t="s">
        <v>39</v>
      </c>
      <c r="C15" s="31">
        <v>36.22</v>
      </c>
    </row>
    <row r="16" spans="1:3">
      <c r="A16" s="35" t="s">
        <v>106</v>
      </c>
      <c r="B16" s="22" t="s">
        <v>39</v>
      </c>
      <c r="C16" s="31">
        <v>57.019999999999996</v>
      </c>
    </row>
    <row r="17" spans="1:3">
      <c r="A17" s="36" t="s">
        <v>110</v>
      </c>
      <c r="B17" s="22" t="s">
        <v>39</v>
      </c>
      <c r="C17" s="31">
        <v>49.100000000000016</v>
      </c>
    </row>
    <row r="18" spans="1:3">
      <c r="A18" s="37" t="s">
        <v>174</v>
      </c>
      <c r="B18" s="22" t="s">
        <v>39</v>
      </c>
      <c r="C18" s="31" t="s">
        <v>175</v>
      </c>
    </row>
    <row r="19" spans="1:3">
      <c r="A19" s="35" t="s">
        <v>116</v>
      </c>
      <c r="B19" s="22" t="s">
        <v>39</v>
      </c>
      <c r="C19" s="31">
        <v>58.81</v>
      </c>
    </row>
    <row r="20" spans="1:3">
      <c r="A20" s="35" t="s">
        <v>121</v>
      </c>
      <c r="B20" s="22" t="s">
        <v>39</v>
      </c>
      <c r="C20" s="31">
        <v>34.270000000000003</v>
      </c>
    </row>
    <row r="21" spans="1:3">
      <c r="A21" s="35" t="s">
        <v>125</v>
      </c>
      <c r="B21" s="22" t="s">
        <v>39</v>
      </c>
      <c r="C21" s="31">
        <v>60.76</v>
      </c>
    </row>
    <row r="22" spans="1:3">
      <c r="A22" s="35" t="s">
        <v>137</v>
      </c>
      <c r="B22" s="22" t="s">
        <v>39</v>
      </c>
      <c r="C22" s="31">
        <v>45.59</v>
      </c>
    </row>
    <row r="23" spans="1:3">
      <c r="A23" s="35" t="s">
        <v>140</v>
      </c>
      <c r="B23" s="22" t="s">
        <v>39</v>
      </c>
      <c r="C23" s="31">
        <v>34.27000000000001</v>
      </c>
    </row>
    <row r="24" spans="1:3">
      <c r="A24" s="35" t="s">
        <v>163</v>
      </c>
      <c r="B24" s="22" t="s">
        <v>39</v>
      </c>
      <c r="C24" s="31">
        <v>40.739999999999995</v>
      </c>
    </row>
    <row r="25" spans="1:3">
      <c r="A25" s="35" t="s">
        <v>168</v>
      </c>
      <c r="B25" s="22" t="s">
        <v>39</v>
      </c>
      <c r="C25" s="31">
        <v>40.739999999999995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4"/>
  <sheetViews>
    <sheetView workbookViewId="0">
      <selection activeCell="B12" sqref="B12:J15"/>
    </sheetView>
  </sheetViews>
  <sheetFormatPr defaultRowHeight="12.75"/>
  <sheetData>
    <row r="1" spans="1:2">
      <c r="A1" t="s">
        <v>24</v>
      </c>
      <c r="B1" t="s">
        <v>225</v>
      </c>
    </row>
    <row r="2" spans="1:2">
      <c r="A2" t="s">
        <v>41</v>
      </c>
      <c r="B2">
        <v>61.175445623873422</v>
      </c>
    </row>
    <row r="3" spans="1:2">
      <c r="A3" t="s">
        <v>43</v>
      </c>
      <c r="B3">
        <v>83.935873255375341</v>
      </c>
    </row>
    <row r="4" spans="1:2">
      <c r="A4" t="s">
        <v>44</v>
      </c>
      <c r="B4">
        <v>41.775672810587153</v>
      </c>
    </row>
    <row r="5" spans="1:2">
      <c r="A5" t="s">
        <v>45</v>
      </c>
      <c r="B5">
        <v>50.651794413770709</v>
      </c>
    </row>
    <row r="6" spans="1:2">
      <c r="A6" t="s">
        <v>46</v>
      </c>
      <c r="B6">
        <v>45.885778194674934</v>
      </c>
    </row>
    <row r="7" spans="1:2">
      <c r="A7" t="s">
        <v>47</v>
      </c>
      <c r="B7">
        <v>44.944835792479779</v>
      </c>
    </row>
    <row r="8" spans="1:2">
      <c r="A8" t="s">
        <v>48</v>
      </c>
      <c r="B8">
        <v>66.138417130965962</v>
      </c>
    </row>
    <row r="9" spans="1:2">
      <c r="A9" t="s">
        <v>49</v>
      </c>
      <c r="B9">
        <v>49.784257171325187</v>
      </c>
    </row>
    <row r="10" spans="1:2">
      <c r="A10" t="s">
        <v>50</v>
      </c>
      <c r="B10">
        <v>38.91984010098885</v>
      </c>
    </row>
    <row r="11" spans="1:2">
      <c r="A11" t="s">
        <v>52</v>
      </c>
      <c r="B11">
        <v>34.670491191147022</v>
      </c>
    </row>
    <row r="12" spans="1:2">
      <c r="A12" t="s">
        <v>53</v>
      </c>
      <c r="B12">
        <v>35.926824212271974</v>
      </c>
    </row>
    <row r="13" spans="1:2">
      <c r="A13" t="s">
        <v>54</v>
      </c>
      <c r="B13">
        <v>49.463542506855944</v>
      </c>
    </row>
    <row r="14" spans="1:2">
      <c r="A14" t="s">
        <v>55</v>
      </c>
      <c r="B14">
        <v>39.849201806271068</v>
      </c>
    </row>
    <row r="15" spans="1:2">
      <c r="A15" t="s">
        <v>56</v>
      </c>
      <c r="B15">
        <v>42.074456061034191</v>
      </c>
    </row>
    <row r="16" spans="1:2">
      <c r="A16" t="s">
        <v>57</v>
      </c>
      <c r="B16">
        <v>50.603953468031136</v>
      </c>
    </row>
    <row r="17" spans="1:2">
      <c r="A17" t="s">
        <v>58</v>
      </c>
      <c r="B17">
        <v>42.074456061034191</v>
      </c>
    </row>
    <row r="18" spans="1:2">
      <c r="A18" t="s">
        <v>59</v>
      </c>
      <c r="B18">
        <v>45.092433039895113</v>
      </c>
    </row>
    <row r="19" spans="1:2">
      <c r="A19" t="s">
        <v>60</v>
      </c>
      <c r="B19">
        <v>71.054285372276752</v>
      </c>
    </row>
    <row r="20" spans="1:2">
      <c r="A20" t="s">
        <v>61</v>
      </c>
      <c r="B20">
        <v>0</v>
      </c>
    </row>
    <row r="21" spans="1:2">
      <c r="A21" t="s">
        <v>63</v>
      </c>
      <c r="B21">
        <v>46.143169133705413</v>
      </c>
    </row>
    <row r="22" spans="1:2">
      <c r="A22" t="s">
        <v>64</v>
      </c>
      <c r="B22">
        <v>58.929033100476595</v>
      </c>
    </row>
    <row r="23" spans="1:2">
      <c r="A23" t="s">
        <v>65</v>
      </c>
      <c r="B23">
        <v>52.671633438265133</v>
      </c>
    </row>
    <row r="24" spans="1:2">
      <c r="A24" t="s">
        <v>66</v>
      </c>
      <c r="B24">
        <v>73.065895810021132</v>
      </c>
    </row>
    <row r="25" spans="1:2">
      <c r="A25" t="s">
        <v>264</v>
      </c>
      <c r="B25">
        <v>71.271864808775575</v>
      </c>
    </row>
    <row r="26" spans="1:2">
      <c r="A26" t="s">
        <v>67</v>
      </c>
      <c r="B26">
        <v>61.766183396435501</v>
      </c>
    </row>
    <row r="27" spans="1:2">
      <c r="A27" t="s">
        <v>68</v>
      </c>
      <c r="B27">
        <v>52.612781954887218</v>
      </c>
    </row>
    <row r="28" spans="1:2">
      <c r="A28" t="s">
        <v>69</v>
      </c>
      <c r="B28">
        <v>46.74619848674061</v>
      </c>
    </row>
    <row r="29" spans="1:2">
      <c r="A29" t="s">
        <v>70</v>
      </c>
      <c r="B29">
        <v>52.351845854922281</v>
      </c>
    </row>
    <row r="30" spans="1:2">
      <c r="A30" t="s">
        <v>71</v>
      </c>
      <c r="B30">
        <v>35.664656890296868</v>
      </c>
    </row>
    <row r="31" spans="1:2">
      <c r="A31" t="s">
        <v>72</v>
      </c>
      <c r="B31">
        <v>55.042945283325217</v>
      </c>
    </row>
    <row r="32" spans="1:2">
      <c r="A32" t="s">
        <v>73</v>
      </c>
      <c r="B32">
        <v>32.704175578908213</v>
      </c>
    </row>
    <row r="33" spans="1:2">
      <c r="A33" t="s">
        <v>74</v>
      </c>
      <c r="B33">
        <v>53.734553592838303</v>
      </c>
    </row>
    <row r="34" spans="1:2">
      <c r="A34" t="s">
        <v>75</v>
      </c>
      <c r="B34">
        <v>63.678999721111836</v>
      </c>
    </row>
    <row r="35" spans="1:2">
      <c r="A35" t="s">
        <v>76</v>
      </c>
      <c r="B35">
        <v>60.008860435339315</v>
      </c>
    </row>
    <row r="36" spans="1:2">
      <c r="A36" t="s">
        <v>77</v>
      </c>
      <c r="B36">
        <v>53.399756202495333</v>
      </c>
    </row>
    <row r="37" spans="1:2">
      <c r="A37" t="s">
        <v>78</v>
      </c>
      <c r="B37">
        <v>47.307374703621939</v>
      </c>
    </row>
    <row r="38" spans="1:2">
      <c r="A38" t="s">
        <v>79</v>
      </c>
      <c r="B38">
        <v>69.009811645061959</v>
      </c>
    </row>
    <row r="39" spans="1:2">
      <c r="A39" t="s">
        <v>80</v>
      </c>
      <c r="B39">
        <v>53.45083754015603</v>
      </c>
    </row>
    <row r="40" spans="1:2">
      <c r="A40" t="s">
        <v>81</v>
      </c>
      <c r="B40">
        <v>38.635642517186675</v>
      </c>
    </row>
    <row r="41" spans="1:2">
      <c r="A41" t="s">
        <v>82</v>
      </c>
      <c r="B41">
        <v>37.146665473900789</v>
      </c>
    </row>
    <row r="42" spans="1:2">
      <c r="A42" t="s">
        <v>83</v>
      </c>
      <c r="B42">
        <v>37.146665473900789</v>
      </c>
    </row>
    <row r="43" spans="1:2">
      <c r="A43" t="s">
        <v>84</v>
      </c>
      <c r="B43">
        <v>37.146665473900789</v>
      </c>
    </row>
    <row r="44" spans="1:2">
      <c r="A44" t="s">
        <v>85</v>
      </c>
      <c r="B44">
        <v>37.146665473900789</v>
      </c>
    </row>
    <row r="45" spans="1:2">
      <c r="A45" t="s">
        <v>265</v>
      </c>
      <c r="B45">
        <v>37.146665473900789</v>
      </c>
    </row>
    <row r="46" spans="1:2">
      <c r="A46" t="s">
        <v>87</v>
      </c>
      <c r="B46">
        <v>38.66003741262184</v>
      </c>
    </row>
    <row r="47" spans="1:2">
      <c r="A47" t="s">
        <v>88</v>
      </c>
      <c r="B47">
        <v>41.946101180903369</v>
      </c>
    </row>
    <row r="48" spans="1:2">
      <c r="A48" t="s">
        <v>89</v>
      </c>
      <c r="B48">
        <v>49.284279077155226</v>
      </c>
    </row>
    <row r="49" spans="1:2">
      <c r="A49" t="s">
        <v>90</v>
      </c>
      <c r="B49">
        <v>54.55650813091107</v>
      </c>
    </row>
    <row r="50" spans="1:2">
      <c r="A50" t="s">
        <v>91</v>
      </c>
      <c r="B50">
        <v>53.568590382566256</v>
      </c>
    </row>
    <row r="51" spans="1:2">
      <c r="A51" t="s">
        <v>92</v>
      </c>
      <c r="B51">
        <v>48.437622652088592</v>
      </c>
    </row>
    <row r="52" spans="1:2">
      <c r="A52" t="s">
        <v>93</v>
      </c>
      <c r="B52">
        <v>54.55650813091107</v>
      </c>
    </row>
    <row r="53" spans="1:2">
      <c r="A53" t="s">
        <v>94</v>
      </c>
      <c r="B53">
        <v>54.55650813091107</v>
      </c>
    </row>
    <row r="54" spans="1:2">
      <c r="A54" t="s">
        <v>95</v>
      </c>
      <c r="B54">
        <v>56.928471948495599</v>
      </c>
    </row>
    <row r="55" spans="1:2">
      <c r="A55" t="s">
        <v>96</v>
      </c>
      <c r="B55">
        <v>60.106497218788626</v>
      </c>
    </row>
    <row r="56" spans="1:2">
      <c r="A56" t="s">
        <v>97</v>
      </c>
      <c r="B56">
        <v>61.224272663902859</v>
      </c>
    </row>
    <row r="57" spans="1:2">
      <c r="A57" t="s">
        <v>98</v>
      </c>
      <c r="B57">
        <v>49.412072346916538</v>
      </c>
    </row>
    <row r="58" spans="1:2">
      <c r="A58" t="s">
        <v>266</v>
      </c>
      <c r="B58">
        <v>119.01598245064243</v>
      </c>
    </row>
    <row r="59" spans="1:2">
      <c r="A59" t="s">
        <v>99</v>
      </c>
      <c r="B59">
        <v>38.91984010098885</v>
      </c>
    </row>
    <row r="60" spans="1:2">
      <c r="A60" t="s">
        <v>100</v>
      </c>
      <c r="B60">
        <v>46.890722591783884</v>
      </c>
    </row>
    <row r="61" spans="1:2">
      <c r="A61" t="s">
        <v>101</v>
      </c>
      <c r="B61">
        <v>38.91984010098885</v>
      </c>
    </row>
    <row r="62" spans="1:2">
      <c r="A62" t="s">
        <v>102</v>
      </c>
      <c r="B62">
        <v>38.91984010098885</v>
      </c>
    </row>
    <row r="63" spans="1:2">
      <c r="A63" t="s">
        <v>103</v>
      </c>
      <c r="B63">
        <v>38.91984010098885</v>
      </c>
    </row>
    <row r="64" spans="1:2">
      <c r="A64" t="s">
        <v>104</v>
      </c>
      <c r="B64">
        <v>38.91984010098885</v>
      </c>
    </row>
    <row r="65" spans="1:2">
      <c r="A65" t="s">
        <v>105</v>
      </c>
      <c r="B65">
        <v>62.10655153996796</v>
      </c>
    </row>
    <row r="66" spans="1:2">
      <c r="A66" t="s">
        <v>106</v>
      </c>
      <c r="B66">
        <v>38.91984010098885</v>
      </c>
    </row>
    <row r="67" spans="1:2">
      <c r="A67" t="s">
        <v>267</v>
      </c>
      <c r="B67">
        <v>62.10655153996796</v>
      </c>
    </row>
    <row r="68" spans="1:2">
      <c r="A68" t="s">
        <v>107</v>
      </c>
      <c r="B68">
        <v>25.756625246310371</v>
      </c>
    </row>
    <row r="69" spans="1:2">
      <c r="A69" t="s">
        <v>108</v>
      </c>
      <c r="B69">
        <v>72.475013220518235</v>
      </c>
    </row>
    <row r="70" spans="1:2">
      <c r="A70" t="s">
        <v>109</v>
      </c>
      <c r="B70">
        <v>67.160731021555762</v>
      </c>
    </row>
    <row r="71" spans="1:2">
      <c r="A71" t="s">
        <v>111</v>
      </c>
      <c r="B71">
        <v>46.947245228664023</v>
      </c>
    </row>
    <row r="72" spans="1:2">
      <c r="A72" t="s">
        <v>112</v>
      </c>
      <c r="B72">
        <v>69.116073339516305</v>
      </c>
    </row>
    <row r="73" spans="1:2">
      <c r="A73" t="s">
        <v>113</v>
      </c>
      <c r="B73">
        <v>94.906112982143981</v>
      </c>
    </row>
    <row r="74" spans="1:2">
      <c r="A74" t="s">
        <v>114</v>
      </c>
      <c r="B74">
        <v>82.628761003810283</v>
      </c>
    </row>
    <row r="75" spans="1:2">
      <c r="A75" t="s">
        <v>115</v>
      </c>
      <c r="B75">
        <v>51.564436183395294</v>
      </c>
    </row>
    <row r="76" spans="1:2">
      <c r="A76" t="s">
        <v>116</v>
      </c>
      <c r="B76">
        <v>62.230321464156482</v>
      </c>
    </row>
    <row r="77" spans="1:2">
      <c r="A77" t="s">
        <v>117</v>
      </c>
      <c r="B77">
        <v>49.599237673010379</v>
      </c>
    </row>
    <row r="78" spans="1:2">
      <c r="A78" t="s">
        <v>118</v>
      </c>
      <c r="B78">
        <v>68.202964710709892</v>
      </c>
    </row>
    <row r="79" spans="1:2">
      <c r="A79" t="s">
        <v>119</v>
      </c>
      <c r="B79">
        <v>67.597048119692687</v>
      </c>
    </row>
    <row r="80" spans="1:2">
      <c r="A80" t="s">
        <v>120</v>
      </c>
      <c r="B80">
        <v>46.947245228664023</v>
      </c>
    </row>
    <row r="81" spans="1:2">
      <c r="A81" t="s">
        <v>121</v>
      </c>
      <c r="B81">
        <v>104.22491105840498</v>
      </c>
    </row>
    <row r="82" spans="1:2">
      <c r="A82" t="s">
        <v>122</v>
      </c>
      <c r="B82">
        <v>68.820683824910773</v>
      </c>
    </row>
    <row r="83" spans="1:2">
      <c r="A83" t="s">
        <v>123</v>
      </c>
      <c r="B83">
        <v>81.110286412853654</v>
      </c>
    </row>
    <row r="84" spans="1:2">
      <c r="A84" t="s">
        <v>124</v>
      </c>
      <c r="B84">
        <v>46.947245228664023</v>
      </c>
    </row>
    <row r="85" spans="1:2">
      <c r="A85" t="s">
        <v>125</v>
      </c>
      <c r="B85">
        <v>92.021258028483658</v>
      </c>
    </row>
    <row r="86" spans="1:2">
      <c r="A86" t="s">
        <v>126</v>
      </c>
      <c r="B86">
        <v>46.947245228664023</v>
      </c>
    </row>
    <row r="87" spans="1:2">
      <c r="A87" t="s">
        <v>127</v>
      </c>
      <c r="B87">
        <v>29.213066551921976</v>
      </c>
    </row>
    <row r="88" spans="1:2">
      <c r="A88" t="s">
        <v>128</v>
      </c>
      <c r="B88">
        <v>70.039845819144915</v>
      </c>
    </row>
    <row r="89" spans="1:2">
      <c r="A89" t="s">
        <v>268</v>
      </c>
      <c r="B89">
        <v>75.878974834178706</v>
      </c>
    </row>
    <row r="90" spans="1:2">
      <c r="A90" t="s">
        <v>130</v>
      </c>
      <c r="B90">
        <v>72.801278012780131</v>
      </c>
    </row>
    <row r="91" spans="1:2">
      <c r="A91" t="s">
        <v>131</v>
      </c>
      <c r="B91">
        <v>51.439664714292299</v>
      </c>
    </row>
    <row r="92" spans="1:2">
      <c r="A92" t="s">
        <v>132</v>
      </c>
      <c r="B92">
        <v>83.592336316762328</v>
      </c>
    </row>
    <row r="93" spans="1:2">
      <c r="A93" t="s">
        <v>133</v>
      </c>
      <c r="B93">
        <v>65.676715493940179</v>
      </c>
    </row>
    <row r="94" spans="1:2">
      <c r="A94" t="s">
        <v>269</v>
      </c>
      <c r="B94">
        <v>66.634141776341707</v>
      </c>
    </row>
    <row r="95" spans="1:2">
      <c r="A95" t="s">
        <v>135</v>
      </c>
      <c r="B95">
        <v>65.19260761072988</v>
      </c>
    </row>
    <row r="96" spans="1:2">
      <c r="A96" t="s">
        <v>136</v>
      </c>
      <c r="B96">
        <v>81.71811432058584</v>
      </c>
    </row>
    <row r="97" spans="1:2">
      <c r="A97" t="s">
        <v>137</v>
      </c>
      <c r="B97">
        <v>73.65379553590229</v>
      </c>
    </row>
    <row r="98" spans="1:2">
      <c r="A98" t="s">
        <v>138</v>
      </c>
      <c r="B98">
        <v>92.803533141736239</v>
      </c>
    </row>
    <row r="99" spans="1:2">
      <c r="A99" t="s">
        <v>139</v>
      </c>
      <c r="B99">
        <v>60.904965296316071</v>
      </c>
    </row>
    <row r="100" spans="1:2">
      <c r="A100" t="s">
        <v>140</v>
      </c>
      <c r="B100">
        <v>69.200501539998328</v>
      </c>
    </row>
    <row r="101" spans="1:2">
      <c r="A101" t="s">
        <v>141</v>
      </c>
      <c r="B101">
        <v>45.677541186429643</v>
      </c>
    </row>
    <row r="102" spans="1:2">
      <c r="A102" t="s">
        <v>270</v>
      </c>
      <c r="B102">
        <v>63.463013698630142</v>
      </c>
    </row>
    <row r="103" spans="1:2">
      <c r="A103" t="s">
        <v>143</v>
      </c>
      <c r="B103">
        <v>91.185267321985151</v>
      </c>
    </row>
    <row r="104" spans="1:2">
      <c r="A104" t="s">
        <v>144</v>
      </c>
      <c r="B104">
        <v>63.463013698630142</v>
      </c>
    </row>
    <row r="105" spans="1:2">
      <c r="A105" t="s">
        <v>271</v>
      </c>
      <c r="B105">
        <v>63.463013698630142</v>
      </c>
    </row>
    <row r="106" spans="1:2">
      <c r="A106" t="s">
        <v>145</v>
      </c>
      <c r="B106">
        <v>40.035332668471291</v>
      </c>
    </row>
    <row r="107" spans="1:2">
      <c r="A107" t="s">
        <v>146</v>
      </c>
      <c r="B107">
        <v>39.435405141555485</v>
      </c>
    </row>
    <row r="108" spans="1:2">
      <c r="A108" t="s">
        <v>147</v>
      </c>
      <c r="B108">
        <v>38.893576766625678</v>
      </c>
    </row>
    <row r="109" spans="1:2">
      <c r="A109" t="s">
        <v>148</v>
      </c>
      <c r="B109">
        <v>45.543016677687163</v>
      </c>
    </row>
    <row r="110" spans="1:2">
      <c r="A110" t="s">
        <v>149</v>
      </c>
      <c r="B110">
        <v>47.727690040008426</v>
      </c>
    </row>
    <row r="111" spans="1:2">
      <c r="A111" t="s">
        <v>150</v>
      </c>
      <c r="B111">
        <v>56.447132457386367</v>
      </c>
    </row>
    <row r="112" spans="1:2">
      <c r="A112" t="s">
        <v>151</v>
      </c>
      <c r="B112">
        <v>33.775569572856362</v>
      </c>
    </row>
    <row r="113" spans="1:2">
      <c r="A113" t="s">
        <v>152</v>
      </c>
      <c r="B113">
        <v>60.614248844607161</v>
      </c>
    </row>
    <row r="114" spans="1:2">
      <c r="A114" t="s">
        <v>153</v>
      </c>
      <c r="B114">
        <v>46.786173505833794</v>
      </c>
    </row>
    <row r="115" spans="1:2">
      <c r="A115" t="s">
        <v>154</v>
      </c>
      <c r="B115">
        <v>51.945465323058684</v>
      </c>
    </row>
    <row r="116" spans="1:2">
      <c r="A116" t="s">
        <v>272</v>
      </c>
      <c r="B116">
        <v>0</v>
      </c>
    </row>
    <row r="117" spans="1:2">
      <c r="A117" t="s">
        <v>155</v>
      </c>
      <c r="B117">
        <v>56.95027771843624</v>
      </c>
    </row>
    <row r="118" spans="1:2">
      <c r="A118" t="s">
        <v>156</v>
      </c>
      <c r="B118">
        <v>52.441131237183868</v>
      </c>
    </row>
    <row r="119" spans="1:2">
      <c r="A119" t="s">
        <v>157</v>
      </c>
      <c r="B119">
        <v>46.536889897843359</v>
      </c>
    </row>
    <row r="120" spans="1:2">
      <c r="A120" t="s">
        <v>158</v>
      </c>
      <c r="B120">
        <v>48.670002793036033</v>
      </c>
    </row>
    <row r="121" spans="1:2">
      <c r="A121" t="s">
        <v>159</v>
      </c>
      <c r="B121">
        <v>60.703179867342961</v>
      </c>
    </row>
    <row r="122" spans="1:2">
      <c r="A122" t="s">
        <v>160</v>
      </c>
      <c r="B122">
        <v>50.065328206045429</v>
      </c>
    </row>
    <row r="123" spans="1:2">
      <c r="A123" t="s">
        <v>161</v>
      </c>
      <c r="B123">
        <v>48.670002793036033</v>
      </c>
    </row>
    <row r="124" spans="1:2">
      <c r="A124" t="s">
        <v>162</v>
      </c>
      <c r="B124">
        <v>53.307313421073367</v>
      </c>
    </row>
    <row r="125" spans="1:2">
      <c r="A125" t="s">
        <v>163</v>
      </c>
      <c r="B125">
        <v>53.307313421073367</v>
      </c>
    </row>
    <row r="126" spans="1:2">
      <c r="A126" t="s">
        <v>164</v>
      </c>
      <c r="B126">
        <v>51.095112560269179</v>
      </c>
    </row>
    <row r="127" spans="1:2">
      <c r="A127" t="s">
        <v>165</v>
      </c>
      <c r="B127">
        <v>67.922640961054057</v>
      </c>
    </row>
    <row r="128" spans="1:2">
      <c r="A128" t="s">
        <v>166</v>
      </c>
      <c r="B128">
        <v>48.670002793036033</v>
      </c>
    </row>
    <row r="129" spans="1:2">
      <c r="A129" t="s">
        <v>167</v>
      </c>
      <c r="B129">
        <v>45.02076712733723</v>
      </c>
    </row>
    <row r="130" spans="1:2">
      <c r="A130" t="s">
        <v>168</v>
      </c>
      <c r="B130">
        <v>48.670002793036033</v>
      </c>
    </row>
    <row r="131" spans="1:2">
      <c r="A131" t="s">
        <v>169</v>
      </c>
      <c r="B131">
        <v>46.951634723788047</v>
      </c>
    </row>
    <row r="132" spans="1:2">
      <c r="A132" t="s">
        <v>170</v>
      </c>
      <c r="B132">
        <v>44.359220005280434</v>
      </c>
    </row>
    <row r="133" spans="1:2">
      <c r="A133" t="s">
        <v>42</v>
      </c>
      <c r="B133">
        <v>64.900000000000006</v>
      </c>
    </row>
    <row r="134" spans="1:2">
      <c r="A134" t="s">
        <v>110</v>
      </c>
      <c r="B134">
        <v>81.125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B55ABC7C022CF4AAFB2EB58557B5742" ma:contentTypeVersion="10" ma:contentTypeDescription="Create a new document." ma:contentTypeScope="" ma:versionID="3446677d92f02d844dd138b58cfda573">
  <xsd:schema xmlns:xsd="http://www.w3.org/2001/XMLSchema" xmlns:xs="http://www.w3.org/2001/XMLSchema" xmlns:p="http://schemas.microsoft.com/office/2006/metadata/properties" xmlns:ns3="8ad3d4ac-fb82-4058-99ff-7b8519f48fa5" targetNamespace="http://schemas.microsoft.com/office/2006/metadata/properties" ma:root="true" ma:fieldsID="a44b06f0e1fa24e6fd263310a53ab031" ns3:_="">
    <xsd:import namespace="8ad3d4ac-fb82-4058-99ff-7b8519f48fa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d3d4ac-fb82-4058-99ff-7b8519f48f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830BE9-93F6-43E9-A4CC-45FE674C1349}">
  <ds:schemaRefs>
    <ds:schemaRef ds:uri="http://purl.org/dc/elements/1.1/"/>
    <ds:schemaRef ds:uri="http://schemas.openxmlformats.org/package/2006/metadata/core-properties"/>
    <ds:schemaRef ds:uri="http://purl.org/dc/dcmitype/"/>
    <ds:schemaRef ds:uri="http://schemas.microsoft.com/office/infopath/2007/PartnerControls"/>
    <ds:schemaRef ds:uri="8ad3d4ac-fb82-4058-99ff-7b8519f48fa5"/>
    <ds:schemaRef ds:uri="http://schemas.microsoft.com/office/2006/metadata/properties"/>
    <ds:schemaRef ds:uri="http://schemas.microsoft.com/office/2006/documentManagement/types"/>
    <ds:schemaRef ds:uri="http://www.w3.org/XML/1998/namespace"/>
    <ds:schemaRef ds:uri="http://purl.org/dc/terms/"/>
  </ds:schemaRefs>
</ds:datastoreItem>
</file>

<file path=customXml/itemProps2.xml><?xml version="1.0" encoding="utf-8"?>
<ds:datastoreItem xmlns:ds="http://schemas.openxmlformats.org/officeDocument/2006/customXml" ds:itemID="{568A791E-85DE-41B1-955C-D0E4865C8F55}">
  <ds:schemaRefs>
    <ds:schemaRef ds:uri="http://schemas.microsoft.com/sharepoint/v3/contenttype/forms"/>
  </ds:schemaRefs>
</ds:datastoreItem>
</file>

<file path=customXml/itemProps3.xml><?xml version="1.0" encoding="utf-8"?>
<ds:datastoreItem xmlns:ds="http://schemas.openxmlformats.org/officeDocument/2006/customXml" ds:itemID="{EEA909BC-F900-4883-909B-086A625E91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d3d4ac-fb82-4058-99ff-7b8519f48f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Position Questionnaire</vt:lpstr>
      <vt:lpstr>Proforma</vt:lpstr>
      <vt:lpstr>FY22 Rates</vt:lpstr>
      <vt:lpstr>Lists</vt:lpstr>
      <vt:lpstr>Specialty</vt:lpstr>
      <vt:lpstr>Count of Providers as of Jan 18</vt:lpstr>
      <vt:lpstr>FY21 wRVU Changes</vt:lpstr>
      <vt:lpstr>Low N 2018</vt:lpstr>
      <vt:lpstr>Specialty Lookup</vt:lpstr>
      <vt:lpstr>CPSC</vt:lpstr>
      <vt:lpstr>AAMC</vt:lpstr>
      <vt:lpstr>MGMA ASA</vt:lpstr>
      <vt:lpstr>FUNDTYPE</vt:lpstr>
      <vt:lpstr>'Position Questionnaire'!Print_Area</vt:lpstr>
      <vt:lpstr>Proforma!Print_Area</vt:lpstr>
      <vt:lpstr>Proforma!Print_Titles</vt:lpstr>
    </vt:vector>
  </TitlesOfParts>
  <Company>PRMO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orang001</dc:creator>
  <cp:lastModifiedBy>Brady, Spencer</cp:lastModifiedBy>
  <cp:lastPrinted>2016-06-02T19:28:47Z</cp:lastPrinted>
  <dcterms:created xsi:type="dcterms:W3CDTF">2005-01-14T13:46:04Z</dcterms:created>
  <dcterms:modified xsi:type="dcterms:W3CDTF">2022-08-19T17:32:36Z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0x0101006B55ABC7C022CF4AAFB2EB58557B5742</vt:lpwstr>
  </property>
</Properties>
</file>